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rmi\detska gradina slance\2025\макети касов отчет-ФО-1-05-02-2025\касови отчети\"/>
    </mc:Choice>
  </mc:AlternateContent>
  <bookViews>
    <workbookView xWindow="0" yWindow="0" windowWidth="28800" windowHeight="14010" activeTab="2"/>
  </bookViews>
  <sheets>
    <sheet name="Cash-Flow-DATA" sheetId="15" r:id="rId1"/>
    <sheet name="OTCHET-agregirani pokazateli" sheetId="14" r:id="rId2"/>
    <sheet name="OTCHET" sheetId="3" r:id="rId3"/>
    <sheet name="NALICHNOST" sheetId="17" r:id="rId4"/>
    <sheet name="OCHAKVANO" sheetId="16" r:id="rId5"/>
    <sheet name="list" sheetId="10" state="hidden" r:id="rId6"/>
    <sheet name="INF" sheetId="11" state="hidden" r:id="rId7"/>
  </sheets>
  <definedNames>
    <definedName name="_xlnm._FilterDatabase" localSheetId="2" hidden="1">OTCHET!$M$1:$M$783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62913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I633" i="3" l="1"/>
  <c r="I646" i="3"/>
  <c r="I645" i="3"/>
  <c r="I642" i="3"/>
  <c r="I637" i="3"/>
  <c r="D750" i="3" l="1"/>
  <c r="M749" i="3"/>
  <c r="M748" i="3"/>
  <c r="M747" i="3"/>
  <c r="L746" i="3"/>
  <c r="E746" i="3"/>
  <c r="M745" i="3"/>
  <c r="L744" i="3"/>
  <c r="E744" i="3"/>
  <c r="L743" i="3"/>
  <c r="E743" i="3"/>
  <c r="L742" i="3"/>
  <c r="E742" i="3"/>
  <c r="L740" i="3"/>
  <c r="E740" i="3"/>
  <c r="L739" i="3"/>
  <c r="E739" i="3"/>
  <c r="L738" i="3"/>
  <c r="E738" i="3"/>
  <c r="L737" i="3"/>
  <c r="E737" i="3"/>
  <c r="K736" i="3"/>
  <c r="J736" i="3"/>
  <c r="I736" i="3"/>
  <c r="H736" i="3"/>
  <c r="G736" i="3"/>
  <c r="F736" i="3"/>
  <c r="L735" i="3"/>
  <c r="E735" i="3"/>
  <c r="L734" i="3"/>
  <c r="E734" i="3"/>
  <c r="L733" i="3"/>
  <c r="E733" i="3"/>
  <c r="K732" i="3"/>
  <c r="J732" i="3"/>
  <c r="I732" i="3"/>
  <c r="H732" i="3"/>
  <c r="G732" i="3"/>
  <c r="F732" i="3"/>
  <c r="L731" i="3"/>
  <c r="E731" i="3"/>
  <c r="L730" i="3"/>
  <c r="E730" i="3"/>
  <c r="L729" i="3"/>
  <c r="E729" i="3"/>
  <c r="L728" i="3"/>
  <c r="E728" i="3"/>
  <c r="L727" i="3"/>
  <c r="E727" i="3"/>
  <c r="L726" i="3"/>
  <c r="E726" i="3"/>
  <c r="L725" i="3"/>
  <c r="E725" i="3"/>
  <c r="K724" i="3"/>
  <c r="J724" i="3"/>
  <c r="I724" i="3"/>
  <c r="H724" i="3"/>
  <c r="G724" i="3"/>
  <c r="F724" i="3"/>
  <c r="L723" i="3"/>
  <c r="E723" i="3"/>
  <c r="L722" i="3"/>
  <c r="E722" i="3"/>
  <c r="L721" i="3"/>
  <c r="E721" i="3"/>
  <c r="K720" i="3"/>
  <c r="J720" i="3"/>
  <c r="I720" i="3"/>
  <c r="H720" i="3"/>
  <c r="G720" i="3"/>
  <c r="F720" i="3"/>
  <c r="L719" i="3"/>
  <c r="E719" i="3"/>
  <c r="L718" i="3"/>
  <c r="E718" i="3"/>
  <c r="L717" i="3"/>
  <c r="E717" i="3"/>
  <c r="L716" i="3"/>
  <c r="E716" i="3"/>
  <c r="L715" i="3"/>
  <c r="E715" i="3"/>
  <c r="L714" i="3"/>
  <c r="E714" i="3"/>
  <c r="K713" i="3"/>
  <c r="J713" i="3"/>
  <c r="I713" i="3"/>
  <c r="H713" i="3"/>
  <c r="G713" i="3"/>
  <c r="F713" i="3"/>
  <c r="L712" i="3"/>
  <c r="E712" i="3"/>
  <c r="L711" i="3"/>
  <c r="E711" i="3"/>
  <c r="L710" i="3"/>
  <c r="E710" i="3"/>
  <c r="L709" i="3"/>
  <c r="E709" i="3"/>
  <c r="L708" i="3"/>
  <c r="E708" i="3"/>
  <c r="L707" i="3"/>
  <c r="E707" i="3"/>
  <c r="K706" i="3"/>
  <c r="J706" i="3"/>
  <c r="I706" i="3"/>
  <c r="H706" i="3"/>
  <c r="G706" i="3"/>
  <c r="F706" i="3"/>
  <c r="L705" i="3"/>
  <c r="E705" i="3"/>
  <c r="L704" i="3"/>
  <c r="E704" i="3"/>
  <c r="L703" i="3"/>
  <c r="E703" i="3"/>
  <c r="L702" i="3"/>
  <c r="E702" i="3"/>
  <c r="L701" i="3"/>
  <c r="E701" i="3"/>
  <c r="L700" i="3"/>
  <c r="E700" i="3"/>
  <c r="L699" i="3"/>
  <c r="E699" i="3"/>
  <c r="L698" i="3"/>
  <c r="E698" i="3"/>
  <c r="K697" i="3"/>
  <c r="J697" i="3"/>
  <c r="I697" i="3"/>
  <c r="H697" i="3"/>
  <c r="G697" i="3"/>
  <c r="F697" i="3"/>
  <c r="L696" i="3"/>
  <c r="E696" i="3"/>
  <c r="L695" i="3"/>
  <c r="E695" i="3"/>
  <c r="L694" i="3"/>
  <c r="E694" i="3"/>
  <c r="L693" i="3"/>
  <c r="E693" i="3"/>
  <c r="L692" i="3"/>
  <c r="E692" i="3"/>
  <c r="L691" i="3"/>
  <c r="E691" i="3"/>
  <c r="L690" i="3"/>
  <c r="E690" i="3"/>
  <c r="L689" i="3"/>
  <c r="E689" i="3"/>
  <c r="K688" i="3"/>
  <c r="J688" i="3"/>
  <c r="I688" i="3"/>
  <c r="H688" i="3"/>
  <c r="G688" i="3"/>
  <c r="F688" i="3"/>
  <c r="L687" i="3"/>
  <c r="E687" i="3"/>
  <c r="L686" i="3"/>
  <c r="E686" i="3"/>
  <c r="L685" i="3"/>
  <c r="E685" i="3"/>
  <c r="K684" i="3"/>
  <c r="J684" i="3"/>
  <c r="I684" i="3"/>
  <c r="H684" i="3"/>
  <c r="G684" i="3"/>
  <c r="F684" i="3"/>
  <c r="L683" i="3"/>
  <c r="E683" i="3"/>
  <c r="L682" i="3"/>
  <c r="E682" i="3"/>
  <c r="L681" i="3"/>
  <c r="E681" i="3"/>
  <c r="L680" i="3"/>
  <c r="E680" i="3"/>
  <c r="L679" i="3"/>
  <c r="E679" i="3"/>
  <c r="K678" i="3"/>
  <c r="J678" i="3"/>
  <c r="I678" i="3"/>
  <c r="H678" i="3"/>
  <c r="G678" i="3"/>
  <c r="F678" i="3"/>
  <c r="L677" i="3"/>
  <c r="E677" i="3"/>
  <c r="L676" i="3"/>
  <c r="E676" i="3"/>
  <c r="L675" i="3"/>
  <c r="E675" i="3"/>
  <c r="L674" i="3"/>
  <c r="E674" i="3"/>
  <c r="L673" i="3"/>
  <c r="E673" i="3"/>
  <c r="K672" i="3"/>
  <c r="J672" i="3"/>
  <c r="I672" i="3"/>
  <c r="H672" i="3"/>
  <c r="G672" i="3"/>
  <c r="F672" i="3"/>
  <c r="L671" i="3"/>
  <c r="E671" i="3"/>
  <c r="L670" i="3"/>
  <c r="E670" i="3"/>
  <c r="L669" i="3"/>
  <c r="E669" i="3"/>
  <c r="K668" i="3"/>
  <c r="J668" i="3"/>
  <c r="I668" i="3"/>
  <c r="H668" i="3"/>
  <c r="G668" i="3"/>
  <c r="F668" i="3"/>
  <c r="L667" i="3"/>
  <c r="E667" i="3"/>
  <c r="L666" i="3"/>
  <c r="E666" i="3"/>
  <c r="L665" i="3"/>
  <c r="E665" i="3"/>
  <c r="L664" i="3"/>
  <c r="E664" i="3"/>
  <c r="L663" i="3"/>
  <c r="E663" i="3"/>
  <c r="L662" i="3"/>
  <c r="E662" i="3"/>
  <c r="L661" i="3"/>
  <c r="E661" i="3"/>
  <c r="L660" i="3"/>
  <c r="E660" i="3"/>
  <c r="L659" i="3"/>
  <c r="L214" i="3" s="1"/>
  <c r="E659" i="3"/>
  <c r="L658" i="3"/>
  <c r="E658" i="3"/>
  <c r="L657" i="3"/>
  <c r="E657" i="3"/>
  <c r="L656" i="3"/>
  <c r="E656" i="3"/>
  <c r="L655" i="3"/>
  <c r="E655" i="3"/>
  <c r="L654" i="3"/>
  <c r="E654" i="3"/>
  <c r="L653" i="3"/>
  <c r="E653" i="3"/>
  <c r="L652" i="3"/>
  <c r="E652" i="3"/>
  <c r="L651" i="3"/>
  <c r="E651" i="3"/>
  <c r="K650" i="3"/>
  <c r="J650" i="3"/>
  <c r="I650" i="3"/>
  <c r="H650" i="3"/>
  <c r="G650" i="3"/>
  <c r="F650" i="3"/>
  <c r="L649" i="3"/>
  <c r="E649" i="3"/>
  <c r="L648" i="3"/>
  <c r="E648" i="3"/>
  <c r="L647" i="3"/>
  <c r="E647" i="3"/>
  <c r="L646" i="3"/>
  <c r="M646" i="3" s="1"/>
  <c r="E646" i="3"/>
  <c r="L645" i="3"/>
  <c r="E645" i="3"/>
  <c r="L644" i="3"/>
  <c r="E644" i="3"/>
  <c r="L643" i="3"/>
  <c r="M643" i="3" s="1"/>
  <c r="E643" i="3"/>
  <c r="E642" i="3"/>
  <c r="K641" i="3"/>
  <c r="J641" i="3"/>
  <c r="H641" i="3"/>
  <c r="G641" i="3"/>
  <c r="F641" i="3"/>
  <c r="L640" i="3"/>
  <c r="E640" i="3"/>
  <c r="L639" i="3"/>
  <c r="E639" i="3"/>
  <c r="L638" i="3"/>
  <c r="E638" i="3"/>
  <c r="L637" i="3"/>
  <c r="E637" i="3"/>
  <c r="L636" i="3"/>
  <c r="E636" i="3"/>
  <c r="K635" i="3"/>
  <c r="J635" i="3"/>
  <c r="I635" i="3"/>
  <c r="H635" i="3"/>
  <c r="G635" i="3"/>
  <c r="F635" i="3"/>
  <c r="L634" i="3"/>
  <c r="E634" i="3"/>
  <c r="L633" i="3"/>
  <c r="E633" i="3"/>
  <c r="K632" i="3"/>
  <c r="J632" i="3"/>
  <c r="I632" i="3"/>
  <c r="H632" i="3"/>
  <c r="G632" i="3"/>
  <c r="F632" i="3"/>
  <c r="C629" i="3"/>
  <c r="C628" i="3"/>
  <c r="L627" i="3"/>
  <c r="K627" i="3"/>
  <c r="J627" i="3"/>
  <c r="I627" i="3"/>
  <c r="H627" i="3"/>
  <c r="G627" i="3"/>
  <c r="F627" i="3"/>
  <c r="E627" i="3"/>
  <c r="L626" i="3"/>
  <c r="K626" i="3"/>
  <c r="J626" i="3"/>
  <c r="I626" i="3"/>
  <c r="H626" i="3"/>
  <c r="G626" i="3"/>
  <c r="F626" i="3"/>
  <c r="E626" i="3"/>
  <c r="I625" i="3"/>
  <c r="E625" i="3"/>
  <c r="E623" i="3"/>
  <c r="B622" i="3"/>
  <c r="F621" i="3"/>
  <c r="B619" i="3"/>
  <c r="F618" i="3"/>
  <c r="B618" i="3"/>
  <c r="E8" i="17"/>
  <c r="C8" i="17"/>
  <c r="F8" i="17"/>
  <c r="D8" i="17"/>
  <c r="H26" i="17"/>
  <c r="H24" i="17" s="1"/>
  <c r="G26" i="17"/>
  <c r="G24" i="17" s="1"/>
  <c r="H13" i="17"/>
  <c r="G13" i="17"/>
  <c r="H9" i="17"/>
  <c r="G9" i="17"/>
  <c r="T147" i="11"/>
  <c r="T146" i="11"/>
  <c r="T145" i="11"/>
  <c r="T143" i="11"/>
  <c r="E9" i="3"/>
  <c r="R82" i="11"/>
  <c r="Q82" i="11"/>
  <c r="P82" i="11"/>
  <c r="O82" i="11"/>
  <c r="N82" i="11"/>
  <c r="M82" i="11"/>
  <c r="S85" i="11"/>
  <c r="L85" i="11"/>
  <c r="T85" i="11" s="1"/>
  <c r="S84" i="11"/>
  <c r="L84" i="11"/>
  <c r="T84" i="11" s="1"/>
  <c r="S83" i="11"/>
  <c r="L83" i="11"/>
  <c r="T83" i="11" s="1"/>
  <c r="J22" i="17"/>
  <c r="I22" i="17"/>
  <c r="F9" i="17"/>
  <c r="E9" i="17"/>
  <c r="D9" i="17"/>
  <c r="C9" i="17"/>
  <c r="F17" i="14"/>
  <c r="E17" i="14"/>
  <c r="F15" i="3"/>
  <c r="Q2" i="15" s="1"/>
  <c r="E19" i="3"/>
  <c r="D4" i="16"/>
  <c r="O4" i="16"/>
  <c r="F4" i="16"/>
  <c r="B1" i="16"/>
  <c r="B16" i="3"/>
  <c r="L23" i="11"/>
  <c r="P23" i="11"/>
  <c r="I461" i="3"/>
  <c r="E461" i="3"/>
  <c r="I445" i="3"/>
  <c r="E445" i="3"/>
  <c r="I360" i="3"/>
  <c r="E360" i="3"/>
  <c r="I183" i="3"/>
  <c r="E183" i="3"/>
  <c r="I19" i="3"/>
  <c r="C3" i="17"/>
  <c r="C4" i="17"/>
  <c r="J32" i="17"/>
  <c r="I32" i="17"/>
  <c r="J31" i="17"/>
  <c r="I31" i="17"/>
  <c r="J30" i="17"/>
  <c r="I30" i="17"/>
  <c r="J29" i="17"/>
  <c r="I29" i="17"/>
  <c r="J28" i="17"/>
  <c r="I28" i="17"/>
  <c r="J27" i="17"/>
  <c r="I27" i="17"/>
  <c r="F26" i="17"/>
  <c r="F24" i="17" s="1"/>
  <c r="E26" i="17"/>
  <c r="D26" i="17"/>
  <c r="C26" i="17"/>
  <c r="J25" i="17"/>
  <c r="I25" i="17"/>
  <c r="J23" i="17"/>
  <c r="I23" i="17"/>
  <c r="J21" i="17"/>
  <c r="I21" i="17"/>
  <c r="J20" i="17"/>
  <c r="I20" i="17"/>
  <c r="J19" i="17"/>
  <c r="I19" i="17"/>
  <c r="J18" i="17"/>
  <c r="I18" i="17"/>
  <c r="J17" i="17"/>
  <c r="I17" i="17"/>
  <c r="J16" i="17"/>
  <c r="I16" i="17"/>
  <c r="J15" i="17"/>
  <c r="I15" i="17"/>
  <c r="J14" i="17"/>
  <c r="I14" i="17"/>
  <c r="F13" i="17"/>
  <c r="E13" i="17"/>
  <c r="D13" i="17"/>
  <c r="C13" i="17"/>
  <c r="J12" i="17"/>
  <c r="I12" i="17"/>
  <c r="J11" i="17"/>
  <c r="I11" i="17"/>
  <c r="J10" i="17"/>
  <c r="I10" i="17"/>
  <c r="J90" i="3"/>
  <c r="G90" i="3"/>
  <c r="H11" i="14"/>
  <c r="E87" i="3"/>
  <c r="E113" i="3"/>
  <c r="L113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3" i="3"/>
  <c r="K463" i="3"/>
  <c r="J463" i="3"/>
  <c r="I463" i="3"/>
  <c r="H463" i="3"/>
  <c r="G463" i="3"/>
  <c r="F463" i="3"/>
  <c r="L462" i="3"/>
  <c r="K462" i="3"/>
  <c r="J462" i="3"/>
  <c r="I462" i="3"/>
  <c r="H462" i="3"/>
  <c r="G462" i="3"/>
  <c r="F462" i="3"/>
  <c r="E463" i="3"/>
  <c r="E462" i="3"/>
  <c r="L447" i="3"/>
  <c r="K447" i="3"/>
  <c r="J447" i="3"/>
  <c r="I447" i="3"/>
  <c r="H447" i="3"/>
  <c r="G447" i="3"/>
  <c r="F447" i="3"/>
  <c r="L446" i="3"/>
  <c r="K446" i="3"/>
  <c r="J446" i="3"/>
  <c r="I446" i="3"/>
  <c r="H446" i="3"/>
  <c r="G446" i="3"/>
  <c r="F446" i="3"/>
  <c r="E447" i="3"/>
  <c r="E446" i="3"/>
  <c r="L362" i="3"/>
  <c r="K362" i="3"/>
  <c r="J362" i="3"/>
  <c r="I362" i="3"/>
  <c r="H362" i="3"/>
  <c r="G362" i="3"/>
  <c r="F362" i="3"/>
  <c r="L361" i="3"/>
  <c r="K361" i="3"/>
  <c r="J361" i="3"/>
  <c r="I361" i="3"/>
  <c r="H361" i="3"/>
  <c r="G361" i="3"/>
  <c r="F361" i="3"/>
  <c r="E362" i="3"/>
  <c r="E361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6" i="11"/>
  <c r="Q86" i="11"/>
  <c r="P86" i="11"/>
  <c r="O86" i="11"/>
  <c r="N86" i="11"/>
  <c r="M86" i="11"/>
  <c r="S92" i="11"/>
  <c r="L92" i="11"/>
  <c r="T92" i="11" s="1"/>
  <c r="S87" i="11"/>
  <c r="L87" i="11"/>
  <c r="K22" i="3"/>
  <c r="J22" i="3"/>
  <c r="I22" i="3"/>
  <c r="H22" i="3"/>
  <c r="G22" i="3"/>
  <c r="F22" i="3"/>
  <c r="L25" i="3"/>
  <c r="E25" i="3"/>
  <c r="F10" i="3"/>
  <c r="E6" i="16" s="1"/>
  <c r="N21" i="16"/>
  <c r="M21" i="16"/>
  <c r="L21" i="16"/>
  <c r="K21" i="16"/>
  <c r="J21" i="16"/>
  <c r="I21" i="16"/>
  <c r="H21" i="16"/>
  <c r="G21" i="16"/>
  <c r="F21" i="16"/>
  <c r="C3" i="16"/>
  <c r="B3" i="16" s="1"/>
  <c r="N53" i="16"/>
  <c r="M53" i="16"/>
  <c r="L53" i="16"/>
  <c r="K53" i="16"/>
  <c r="J53" i="16"/>
  <c r="I53" i="16"/>
  <c r="H53" i="16"/>
  <c r="G53" i="16"/>
  <c r="F53" i="16"/>
  <c r="N43" i="16"/>
  <c r="M43" i="16"/>
  <c r="L43" i="16"/>
  <c r="K43" i="16"/>
  <c r="J43" i="16"/>
  <c r="I43" i="16"/>
  <c r="H43" i="16"/>
  <c r="G43" i="16"/>
  <c r="F43" i="16"/>
  <c r="N40" i="16"/>
  <c r="M40" i="16"/>
  <c r="L40" i="16"/>
  <c r="K40" i="16"/>
  <c r="J40" i="16"/>
  <c r="I40" i="16"/>
  <c r="H40" i="16"/>
  <c r="G40" i="16"/>
  <c r="F40" i="16"/>
  <c r="B7" i="3"/>
  <c r="J26" i="11"/>
  <c r="K148" i="11"/>
  <c r="L144" i="11"/>
  <c r="T144" i="11" s="1"/>
  <c r="L2" i="15"/>
  <c r="P2" i="15"/>
  <c r="I11" i="14"/>
  <c r="C134" i="15"/>
  <c r="L6" i="15"/>
  <c r="L9" i="15" s="1"/>
  <c r="P6" i="15"/>
  <c r="Q4" i="15"/>
  <c r="L4" i="15" s="1"/>
  <c r="P9" i="15" s="1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G92" i="14"/>
  <c r="I91" i="14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I78" i="14"/>
  <c r="H78" i="14"/>
  <c r="G78" i="14"/>
  <c r="I75" i="14"/>
  <c r="H75" i="14"/>
  <c r="G75" i="14"/>
  <c r="I74" i="14"/>
  <c r="H74" i="14"/>
  <c r="G74" i="14"/>
  <c r="I73" i="14"/>
  <c r="H73" i="14"/>
  <c r="G73" i="14"/>
  <c r="I72" i="14"/>
  <c r="H72" i="14"/>
  <c r="G72" i="14"/>
  <c r="I70" i="14"/>
  <c r="H70" i="14"/>
  <c r="G70" i="14"/>
  <c r="I69" i="14"/>
  <c r="H69" i="14"/>
  <c r="G69" i="14"/>
  <c r="I60" i="14"/>
  <c r="H60" i="14"/>
  <c r="G60" i="14"/>
  <c r="I29" i="14"/>
  <c r="H29" i="14"/>
  <c r="G29" i="14"/>
  <c r="I28" i="14"/>
  <c r="H28" i="14"/>
  <c r="G28" i="14"/>
  <c r="I27" i="14"/>
  <c r="H27" i="14"/>
  <c r="G27" i="14"/>
  <c r="E15" i="14"/>
  <c r="B8" i="14" s="1"/>
  <c r="F13" i="14"/>
  <c r="E13" i="14"/>
  <c r="F11" i="14"/>
  <c r="B11" i="14"/>
  <c r="F81" i="14"/>
  <c r="F67" i="14"/>
  <c r="F61" i="14"/>
  <c r="F35" i="14"/>
  <c r="F34" i="14"/>
  <c r="F24" i="14"/>
  <c r="M21" i="11"/>
  <c r="L21" i="11"/>
  <c r="S25" i="11" s="1"/>
  <c r="I20" i="11"/>
  <c r="P24" i="11" s="1"/>
  <c r="M19" i="11"/>
  <c r="I19" i="11"/>
  <c r="I17" i="11"/>
  <c r="M16" i="11"/>
  <c r="L16" i="11"/>
  <c r="I16" i="11"/>
  <c r="I14" i="11"/>
  <c r="S144" i="11"/>
  <c r="S142" i="11"/>
  <c r="L142" i="11"/>
  <c r="T142" i="11" s="1"/>
  <c r="S141" i="11"/>
  <c r="L141" i="11"/>
  <c r="T141" i="11" s="1"/>
  <c r="S140" i="11"/>
  <c r="L140" i="11"/>
  <c r="S138" i="11"/>
  <c r="L138" i="11"/>
  <c r="T138" i="11" s="1"/>
  <c r="S137" i="11"/>
  <c r="L137" i="11"/>
  <c r="T137" i="11" s="1"/>
  <c r="S136" i="11"/>
  <c r="L136" i="11"/>
  <c r="T136" i="11" s="1"/>
  <c r="S135" i="11"/>
  <c r="L135" i="11"/>
  <c r="T135" i="11" s="1"/>
  <c r="R134" i="11"/>
  <c r="Q134" i="11"/>
  <c r="P134" i="11"/>
  <c r="O134" i="11"/>
  <c r="N134" i="11"/>
  <c r="M134" i="11"/>
  <c r="S133" i="11"/>
  <c r="L133" i="11"/>
  <c r="T133" i="11" s="1"/>
  <c r="S132" i="11"/>
  <c r="L132" i="11"/>
  <c r="T132" i="11" s="1"/>
  <c r="S131" i="11"/>
  <c r="L131" i="11"/>
  <c r="T131" i="11" s="1"/>
  <c r="R130" i="11"/>
  <c r="Q130" i="11"/>
  <c r="P130" i="11"/>
  <c r="O130" i="11"/>
  <c r="N130" i="11"/>
  <c r="M130" i="11"/>
  <c r="S129" i="11"/>
  <c r="L129" i="11"/>
  <c r="T129" i="11" s="1"/>
  <c r="S128" i="11"/>
  <c r="L128" i="11"/>
  <c r="T128" i="11" s="1"/>
  <c r="S127" i="11"/>
  <c r="L127" i="11"/>
  <c r="T127" i="11" s="1"/>
  <c r="S126" i="11"/>
  <c r="L126" i="11"/>
  <c r="T126" i="11"/>
  <c r="S125" i="11"/>
  <c r="L125" i="11"/>
  <c r="T125" i="11" s="1"/>
  <c r="S124" i="11"/>
  <c r="L124" i="11"/>
  <c r="S123" i="11"/>
  <c r="L123" i="11"/>
  <c r="R122" i="11"/>
  <c r="Q122" i="11"/>
  <c r="P122" i="11"/>
  <c r="O122" i="11"/>
  <c r="N122" i="11"/>
  <c r="M122" i="11"/>
  <c r="S121" i="11"/>
  <c r="L121" i="11"/>
  <c r="T121" i="11"/>
  <c r="S120" i="11"/>
  <c r="S118" i="11" s="1"/>
  <c r="L120" i="11"/>
  <c r="T120" i="11" s="1"/>
  <c r="S119" i="11"/>
  <c r="L119" i="11"/>
  <c r="T119" i="11" s="1"/>
  <c r="R118" i="11"/>
  <c r="Q118" i="11"/>
  <c r="P118" i="11"/>
  <c r="O118" i="11"/>
  <c r="N118" i="11"/>
  <c r="M118" i="11"/>
  <c r="S117" i="11"/>
  <c r="L117" i="11"/>
  <c r="T117" i="11" s="1"/>
  <c r="S116" i="11"/>
  <c r="L116" i="11"/>
  <c r="T116" i="11" s="1"/>
  <c r="S115" i="11"/>
  <c r="L115" i="11"/>
  <c r="T115" i="11" s="1"/>
  <c r="S114" i="11"/>
  <c r="L114" i="11"/>
  <c r="T114" i="11" s="1"/>
  <c r="S113" i="11"/>
  <c r="L113" i="11"/>
  <c r="T113" i="11" s="1"/>
  <c r="S112" i="11"/>
  <c r="L112" i="11"/>
  <c r="T112" i="11" s="1"/>
  <c r="R111" i="11"/>
  <c r="Q111" i="11"/>
  <c r="P111" i="11"/>
  <c r="O111" i="11"/>
  <c r="N111" i="11"/>
  <c r="M111" i="11"/>
  <c r="S110" i="11"/>
  <c r="L110" i="11"/>
  <c r="T110" i="11" s="1"/>
  <c r="S109" i="11"/>
  <c r="L109" i="11"/>
  <c r="T109" i="11" s="1"/>
  <c r="S108" i="11"/>
  <c r="L108" i="11"/>
  <c r="T108" i="11" s="1"/>
  <c r="S107" i="11"/>
  <c r="L107" i="11"/>
  <c r="S106" i="11"/>
  <c r="L106" i="11"/>
  <c r="T106" i="11" s="1"/>
  <c r="S105" i="11"/>
  <c r="L105" i="11"/>
  <c r="R104" i="11"/>
  <c r="Q104" i="11"/>
  <c r="P104" i="11"/>
  <c r="O104" i="11"/>
  <c r="N104" i="11"/>
  <c r="M104" i="11"/>
  <c r="S103" i="11"/>
  <c r="L103" i="11"/>
  <c r="T103" i="11" s="1"/>
  <c r="S102" i="11"/>
  <c r="L102" i="11"/>
  <c r="T102" i="11"/>
  <c r="S101" i="11"/>
  <c r="L101" i="11"/>
  <c r="T101" i="11" s="1"/>
  <c r="S100" i="11"/>
  <c r="L100" i="11"/>
  <c r="T100" i="11" s="1"/>
  <c r="S99" i="11"/>
  <c r="L99" i="11"/>
  <c r="T99" i="11" s="1"/>
  <c r="S98" i="11"/>
  <c r="L98" i="11"/>
  <c r="T98" i="11" s="1"/>
  <c r="S97" i="11"/>
  <c r="L97" i="11"/>
  <c r="T97" i="11" s="1"/>
  <c r="S96" i="11"/>
  <c r="L96" i="11"/>
  <c r="T96" i="11" s="1"/>
  <c r="R95" i="11"/>
  <c r="Q95" i="11"/>
  <c r="P95" i="11"/>
  <c r="O95" i="11"/>
  <c r="N95" i="11"/>
  <c r="M95" i="11"/>
  <c r="S94" i="11"/>
  <c r="L94" i="11"/>
  <c r="T94" i="11" s="1"/>
  <c r="S93" i="11"/>
  <c r="L93" i="11"/>
  <c r="T93" i="11" s="1"/>
  <c r="S91" i="11"/>
  <c r="L91" i="11"/>
  <c r="T91" i="11" s="1"/>
  <c r="S90" i="11"/>
  <c r="L90" i="11"/>
  <c r="T90" i="11" s="1"/>
  <c r="S89" i="11"/>
  <c r="L89" i="11"/>
  <c r="T89" i="11" s="1"/>
  <c r="S88" i="11"/>
  <c r="L88" i="11"/>
  <c r="T88" i="11"/>
  <c r="S81" i="11"/>
  <c r="L81" i="11"/>
  <c r="T81" i="11"/>
  <c r="S80" i="11"/>
  <c r="L80" i="11"/>
  <c r="T80" i="11" s="1"/>
  <c r="S79" i="11"/>
  <c r="L79" i="11"/>
  <c r="T79" i="11"/>
  <c r="S78" i="11"/>
  <c r="L78" i="11"/>
  <c r="S77" i="11"/>
  <c r="L77" i="11"/>
  <c r="R76" i="11"/>
  <c r="Q76" i="11"/>
  <c r="P76" i="11"/>
  <c r="O76" i="11"/>
  <c r="N76" i="11"/>
  <c r="M76" i="11"/>
  <c r="S75" i="11"/>
  <c r="L75" i="11"/>
  <c r="T75" i="11" s="1"/>
  <c r="S74" i="11"/>
  <c r="L74" i="11"/>
  <c r="T74" i="11" s="1"/>
  <c r="S73" i="11"/>
  <c r="L73" i="11"/>
  <c r="S72" i="11"/>
  <c r="L72" i="11"/>
  <c r="T72" i="11"/>
  <c r="S71" i="11"/>
  <c r="S70" i="11" s="1"/>
  <c r="L71" i="11"/>
  <c r="T71" i="11" s="1"/>
  <c r="R70" i="11"/>
  <c r="Q70" i="11"/>
  <c r="P70" i="11"/>
  <c r="O70" i="11"/>
  <c r="N70" i="11"/>
  <c r="M70" i="11"/>
  <c r="S69" i="11"/>
  <c r="L69" i="11"/>
  <c r="T69" i="11" s="1"/>
  <c r="S68" i="11"/>
  <c r="L68" i="11"/>
  <c r="T68" i="11" s="1"/>
  <c r="S67" i="11"/>
  <c r="L67" i="11"/>
  <c r="R66" i="11"/>
  <c r="Q66" i="11"/>
  <c r="P66" i="11"/>
  <c r="O66" i="11"/>
  <c r="N66" i="11"/>
  <c r="M66" i="11"/>
  <c r="S65" i="11"/>
  <c r="L65" i="11"/>
  <c r="T65" i="11" s="1"/>
  <c r="S64" i="11"/>
  <c r="L64" i="11"/>
  <c r="T64" i="11" s="1"/>
  <c r="S63" i="11"/>
  <c r="L63" i="11"/>
  <c r="T63" i="11" s="1"/>
  <c r="S62" i="11"/>
  <c r="L62" i="11"/>
  <c r="T62" i="11" s="1"/>
  <c r="S61" i="11"/>
  <c r="L61" i="11"/>
  <c r="T61" i="11" s="1"/>
  <c r="S60" i="11"/>
  <c r="L60" i="11"/>
  <c r="T60" i="11" s="1"/>
  <c r="S59" i="11"/>
  <c r="L59" i="11"/>
  <c r="T59" i="11" s="1"/>
  <c r="S58" i="11"/>
  <c r="L58" i="11"/>
  <c r="T58" i="11" s="1"/>
  <c r="S57" i="11"/>
  <c r="L57" i="11"/>
  <c r="T57" i="11" s="1"/>
  <c r="S56" i="11"/>
  <c r="L56" i="11"/>
  <c r="T56" i="11" s="1"/>
  <c r="S55" i="11"/>
  <c r="L55" i="11"/>
  <c r="T55" i="11"/>
  <c r="S54" i="11"/>
  <c r="L54" i="11"/>
  <c r="T54" i="11"/>
  <c r="S53" i="11"/>
  <c r="L53" i="11"/>
  <c r="T53" i="11" s="1"/>
  <c r="S52" i="11"/>
  <c r="L52" i="11"/>
  <c r="T52" i="11" s="1"/>
  <c r="S51" i="11"/>
  <c r="L51" i="11"/>
  <c r="T51" i="11" s="1"/>
  <c r="S50" i="11"/>
  <c r="L50" i="11"/>
  <c r="S49" i="11"/>
  <c r="L49" i="11"/>
  <c r="R48" i="11"/>
  <c r="Q48" i="11"/>
  <c r="P48" i="11"/>
  <c r="O48" i="11"/>
  <c r="N48" i="11"/>
  <c r="M48" i="11"/>
  <c r="S47" i="11"/>
  <c r="L47" i="11"/>
  <c r="T47" i="11" s="1"/>
  <c r="S46" i="11"/>
  <c r="L46" i="11"/>
  <c r="T46" i="11" s="1"/>
  <c r="S45" i="11"/>
  <c r="L45" i="11"/>
  <c r="T45" i="11" s="1"/>
  <c r="S44" i="11"/>
  <c r="L44" i="11"/>
  <c r="T44" i="11" s="1"/>
  <c r="S43" i="11"/>
  <c r="L43" i="11"/>
  <c r="T43" i="11" s="1"/>
  <c r="S42" i="11"/>
  <c r="L42" i="11"/>
  <c r="T42" i="11" s="1"/>
  <c r="S41" i="11"/>
  <c r="L41" i="11"/>
  <c r="T41" i="11" s="1"/>
  <c r="S40" i="11"/>
  <c r="S39" i="11" s="1"/>
  <c r="L40" i="11"/>
  <c r="R39" i="11"/>
  <c r="Q39" i="11"/>
  <c r="P39" i="11"/>
  <c r="O39" i="11"/>
  <c r="N39" i="11"/>
  <c r="M39" i="11"/>
  <c r="S38" i="11"/>
  <c r="L38" i="11"/>
  <c r="T38" i="11" s="1"/>
  <c r="S37" i="11"/>
  <c r="L37" i="11"/>
  <c r="T37" i="11" s="1"/>
  <c r="S36" i="11"/>
  <c r="L36" i="11"/>
  <c r="S35" i="11"/>
  <c r="L35" i="11"/>
  <c r="T35" i="11" s="1"/>
  <c r="S34" i="11"/>
  <c r="L34" i="11"/>
  <c r="T34" i="11" s="1"/>
  <c r="R33" i="11"/>
  <c r="Q33" i="11"/>
  <c r="P33" i="11"/>
  <c r="O33" i="11"/>
  <c r="N33" i="11"/>
  <c r="M33" i="11"/>
  <c r="S32" i="11"/>
  <c r="L32" i="11"/>
  <c r="T32" i="11" s="1"/>
  <c r="S31" i="11"/>
  <c r="L31" i="11"/>
  <c r="R30" i="11"/>
  <c r="Q30" i="11"/>
  <c r="P30" i="11"/>
  <c r="O30" i="11"/>
  <c r="N30" i="11"/>
  <c r="M30" i="11"/>
  <c r="J27" i="11"/>
  <c r="B12" i="3"/>
  <c r="L599" i="3"/>
  <c r="E599" i="3"/>
  <c r="L598" i="3"/>
  <c r="E598" i="3"/>
  <c r="L597" i="3"/>
  <c r="E597" i="3"/>
  <c r="L596" i="3"/>
  <c r="E596" i="3"/>
  <c r="L595" i="3"/>
  <c r="E595" i="3"/>
  <c r="K594" i="3"/>
  <c r="I95" i="14" s="1"/>
  <c r="J594" i="3"/>
  <c r="H95" i="14" s="1"/>
  <c r="I594" i="3"/>
  <c r="H594" i="3"/>
  <c r="G594" i="3"/>
  <c r="F594" i="3"/>
  <c r="L593" i="3"/>
  <c r="E593" i="3"/>
  <c r="L592" i="3"/>
  <c r="E592" i="3"/>
  <c r="L591" i="3"/>
  <c r="E591" i="3"/>
  <c r="L590" i="3"/>
  <c r="E590" i="3"/>
  <c r="K589" i="3"/>
  <c r="J589" i="3"/>
  <c r="I589" i="3"/>
  <c r="H589" i="3"/>
  <c r="G589" i="3"/>
  <c r="F589" i="3"/>
  <c r="L588" i="3"/>
  <c r="E588" i="3"/>
  <c r="L587" i="3"/>
  <c r="E587" i="3"/>
  <c r="L586" i="3"/>
  <c r="E586" i="3"/>
  <c r="L585" i="3"/>
  <c r="E585" i="3"/>
  <c r="L584" i="3"/>
  <c r="E584" i="3"/>
  <c r="L583" i="3"/>
  <c r="E583" i="3"/>
  <c r="E92" i="14" s="1"/>
  <c r="L582" i="3"/>
  <c r="E67" i="16" s="1"/>
  <c r="O67" i="16" s="1"/>
  <c r="E582" i="3"/>
  <c r="L581" i="3"/>
  <c r="E581" i="3"/>
  <c r="L580" i="3"/>
  <c r="E580" i="3"/>
  <c r="L579" i="3"/>
  <c r="E579" i="3"/>
  <c r="L578" i="3"/>
  <c r="E578" i="3"/>
  <c r="L577" i="3"/>
  <c r="E577" i="3"/>
  <c r="L576" i="3"/>
  <c r="E576" i="3"/>
  <c r="L575" i="3"/>
  <c r="E575" i="3"/>
  <c r="L574" i="3"/>
  <c r="E574" i="3"/>
  <c r="L573" i="3"/>
  <c r="E573" i="3"/>
  <c r="L572" i="3"/>
  <c r="E572" i="3"/>
  <c r="L571" i="3"/>
  <c r="E571" i="3"/>
  <c r="L570" i="3"/>
  <c r="E570" i="3"/>
  <c r="K569" i="3"/>
  <c r="J569" i="3"/>
  <c r="I569" i="3"/>
  <c r="H569" i="3"/>
  <c r="G569" i="3"/>
  <c r="F569" i="3"/>
  <c r="L568" i="3"/>
  <c r="E63" i="16" s="1"/>
  <c r="O63" i="16" s="1"/>
  <c r="E568" i="3"/>
  <c r="D63" i="16" s="1"/>
  <c r="L567" i="3"/>
  <c r="E567" i="3"/>
  <c r="D62" i="16" s="1"/>
  <c r="L566" i="3"/>
  <c r="E566" i="3"/>
  <c r="L565" i="3"/>
  <c r="E565" i="3"/>
  <c r="L564" i="3"/>
  <c r="E564" i="3"/>
  <c r="L563" i="3"/>
  <c r="E60" i="16" s="1"/>
  <c r="E563" i="3"/>
  <c r="L562" i="3"/>
  <c r="E562" i="3"/>
  <c r="D59" i="16" s="1"/>
  <c r="L561" i="3"/>
  <c r="E561" i="3"/>
  <c r="D58" i="16" s="1"/>
  <c r="L560" i="3"/>
  <c r="E560" i="3"/>
  <c r="L559" i="3"/>
  <c r="E559" i="3"/>
  <c r="L558" i="3"/>
  <c r="E558" i="3"/>
  <c r="L557" i="3"/>
  <c r="E557" i="3"/>
  <c r="L556" i="3"/>
  <c r="E556" i="3"/>
  <c r="L555" i="3"/>
  <c r="E555" i="3"/>
  <c r="L554" i="3"/>
  <c r="E554" i="3"/>
  <c r="L553" i="3"/>
  <c r="E553" i="3"/>
  <c r="L552" i="3"/>
  <c r="E552" i="3"/>
  <c r="L551" i="3"/>
  <c r="E551" i="3"/>
  <c r="D57" i="16" s="1"/>
  <c r="L550" i="3"/>
  <c r="Q112" i="15" s="1"/>
  <c r="E550" i="3"/>
  <c r="D56" i="16" s="1"/>
  <c r="L549" i="3"/>
  <c r="E55" i="16" s="1"/>
  <c r="E549" i="3"/>
  <c r="D55" i="16" s="1"/>
  <c r="L548" i="3"/>
  <c r="E548" i="3"/>
  <c r="K547" i="3"/>
  <c r="J547" i="3"/>
  <c r="I547" i="3"/>
  <c r="H547" i="3"/>
  <c r="G547" i="3"/>
  <c r="F547" i="3"/>
  <c r="L546" i="3"/>
  <c r="E546" i="3"/>
  <c r="L545" i="3"/>
  <c r="E545" i="3"/>
  <c r="K544" i="3"/>
  <c r="J544" i="3"/>
  <c r="I544" i="3"/>
  <c r="H544" i="3"/>
  <c r="G544" i="3"/>
  <c r="F544" i="3"/>
  <c r="L543" i="3"/>
  <c r="E543" i="3"/>
  <c r="L542" i="3"/>
  <c r="E542" i="3"/>
  <c r="L541" i="3"/>
  <c r="E541" i="3"/>
  <c r="L540" i="3"/>
  <c r="E540" i="3"/>
  <c r="K539" i="3"/>
  <c r="I85" i="14" s="1"/>
  <c r="J539" i="3"/>
  <c r="H85" i="14" s="1"/>
  <c r="I539" i="3"/>
  <c r="G85" i="14" s="1"/>
  <c r="H539" i="3"/>
  <c r="G539" i="3"/>
  <c r="F539" i="3"/>
  <c r="L538" i="3"/>
  <c r="E51" i="16" s="1"/>
  <c r="O51" i="16" s="1"/>
  <c r="E538" i="3"/>
  <c r="E84" i="14" s="1"/>
  <c r="L537" i="3"/>
  <c r="E537" i="3"/>
  <c r="L536" i="3"/>
  <c r="E536" i="3"/>
  <c r="L535" i="3"/>
  <c r="E535" i="3"/>
  <c r="K534" i="3"/>
  <c r="I89" i="14" s="1"/>
  <c r="J534" i="3"/>
  <c r="H89" i="14" s="1"/>
  <c r="I534" i="3"/>
  <c r="G89" i="14" s="1"/>
  <c r="H534" i="3"/>
  <c r="G534" i="3"/>
  <c r="F534" i="3"/>
  <c r="L533" i="3"/>
  <c r="E533" i="3"/>
  <c r="L532" i="3"/>
  <c r="E532" i="3"/>
  <c r="L531" i="3"/>
  <c r="E531" i="3"/>
  <c r="L530" i="3"/>
  <c r="E530" i="3"/>
  <c r="L529" i="3"/>
  <c r="E529" i="3"/>
  <c r="L528" i="3"/>
  <c r="E528" i="3"/>
  <c r="K527" i="3"/>
  <c r="J527" i="3"/>
  <c r="I527" i="3"/>
  <c r="H527" i="3"/>
  <c r="G527" i="3"/>
  <c r="F527" i="3"/>
  <c r="L526" i="3"/>
  <c r="E526" i="3"/>
  <c r="L525" i="3"/>
  <c r="E525" i="3"/>
  <c r="K524" i="3"/>
  <c r="J524" i="3"/>
  <c r="I524" i="3"/>
  <c r="H524" i="3"/>
  <c r="G524" i="3"/>
  <c r="F524" i="3"/>
  <c r="L523" i="3"/>
  <c r="E523" i="3"/>
  <c r="M523" i="3" s="1"/>
  <c r="L522" i="3"/>
  <c r="E522" i="3"/>
  <c r="L521" i="3"/>
  <c r="E521" i="3"/>
  <c r="M521" i="3" s="1"/>
  <c r="L520" i="3"/>
  <c r="E520" i="3"/>
  <c r="K519" i="3"/>
  <c r="J519" i="3"/>
  <c r="I519" i="3"/>
  <c r="H519" i="3"/>
  <c r="G519" i="3"/>
  <c r="F519" i="3"/>
  <c r="L518" i="3"/>
  <c r="E518" i="3"/>
  <c r="L517" i="3"/>
  <c r="E517" i="3"/>
  <c r="L516" i="3"/>
  <c r="E516" i="3"/>
  <c r="K515" i="3"/>
  <c r="J515" i="3"/>
  <c r="I515" i="3"/>
  <c r="H515" i="3"/>
  <c r="G515" i="3"/>
  <c r="F515" i="3"/>
  <c r="L514" i="3"/>
  <c r="E514" i="3"/>
  <c r="L513" i="3"/>
  <c r="E513" i="3"/>
  <c r="M513" i="3" s="1"/>
  <c r="L512" i="3"/>
  <c r="E512" i="3"/>
  <c r="L511" i="3"/>
  <c r="E511" i="3"/>
  <c r="M511" i="3" s="1"/>
  <c r="L510" i="3"/>
  <c r="E510" i="3"/>
  <c r="L509" i="3"/>
  <c r="E509" i="3"/>
  <c r="M509" i="3" s="1"/>
  <c r="L508" i="3"/>
  <c r="E508" i="3"/>
  <c r="L507" i="3"/>
  <c r="E507" i="3"/>
  <c r="K506" i="3"/>
  <c r="J506" i="3"/>
  <c r="I506" i="3"/>
  <c r="H506" i="3"/>
  <c r="G506" i="3"/>
  <c r="F506" i="3"/>
  <c r="L505" i="3"/>
  <c r="E505" i="3"/>
  <c r="L504" i="3"/>
  <c r="E504" i="3"/>
  <c r="L503" i="3"/>
  <c r="E503" i="3"/>
  <c r="L502" i="3"/>
  <c r="E502" i="3"/>
  <c r="L501" i="3"/>
  <c r="E501" i="3"/>
  <c r="M501" i="3" s="1"/>
  <c r="K500" i="3"/>
  <c r="J500" i="3"/>
  <c r="I500" i="3"/>
  <c r="G71" i="14" s="1"/>
  <c r="H500" i="3"/>
  <c r="G500" i="3"/>
  <c r="F500" i="3"/>
  <c r="L499" i="3"/>
  <c r="E499" i="3"/>
  <c r="L498" i="3"/>
  <c r="E498" i="3"/>
  <c r="L497" i="3"/>
  <c r="E497" i="3"/>
  <c r="M497" i="3" s="1"/>
  <c r="L496" i="3"/>
  <c r="E496" i="3"/>
  <c r="L495" i="3"/>
  <c r="E495" i="3"/>
  <c r="L494" i="3"/>
  <c r="E494" i="3"/>
  <c r="L493" i="3"/>
  <c r="E493" i="3"/>
  <c r="L492" i="3"/>
  <c r="E492" i="3"/>
  <c r="L491" i="3"/>
  <c r="E491" i="3"/>
  <c r="M491" i="3" s="1"/>
  <c r="L490" i="3"/>
  <c r="E490" i="3"/>
  <c r="L489" i="3"/>
  <c r="E489" i="3"/>
  <c r="L488" i="3"/>
  <c r="E488" i="3"/>
  <c r="L487" i="3"/>
  <c r="E487" i="3"/>
  <c r="L486" i="3"/>
  <c r="E486" i="3"/>
  <c r="L485" i="3"/>
  <c r="E485" i="3"/>
  <c r="K484" i="3"/>
  <c r="J484" i="3"/>
  <c r="I484" i="3"/>
  <c r="H484" i="3"/>
  <c r="G484" i="3"/>
  <c r="F484" i="3"/>
  <c r="L483" i="3"/>
  <c r="E483" i="3"/>
  <c r="M483" i="3" s="1"/>
  <c r="L482" i="3"/>
  <c r="E482" i="3"/>
  <c r="K481" i="3"/>
  <c r="J481" i="3"/>
  <c r="I481" i="3"/>
  <c r="H481" i="3"/>
  <c r="G481" i="3"/>
  <c r="F481" i="3"/>
  <c r="L480" i="3"/>
  <c r="E480" i="3"/>
  <c r="L479" i="3"/>
  <c r="E479" i="3"/>
  <c r="M479" i="3" s="1"/>
  <c r="L478" i="3"/>
  <c r="E478" i="3"/>
  <c r="L477" i="3"/>
  <c r="E477" i="3"/>
  <c r="L476" i="3"/>
  <c r="E476" i="3"/>
  <c r="M476" i="3" s="1"/>
  <c r="L475" i="3"/>
  <c r="E475" i="3"/>
  <c r="K474" i="3"/>
  <c r="I80" i="14"/>
  <c r="J474" i="3"/>
  <c r="H80" i="14" s="1"/>
  <c r="I474" i="3"/>
  <c r="G80" i="14" s="1"/>
  <c r="G77" i="14" s="1"/>
  <c r="H474" i="3"/>
  <c r="G474" i="3"/>
  <c r="F474" i="3"/>
  <c r="L473" i="3"/>
  <c r="E473" i="3"/>
  <c r="L472" i="3"/>
  <c r="E472" i="3"/>
  <c r="K471" i="3"/>
  <c r="J471" i="3"/>
  <c r="I471" i="3"/>
  <c r="H471" i="3"/>
  <c r="G471" i="3"/>
  <c r="F471" i="3"/>
  <c r="L470" i="3"/>
  <c r="E470" i="3"/>
  <c r="L469" i="3"/>
  <c r="M469" i="3" s="1"/>
  <c r="E469" i="3"/>
  <c r="K468" i="3"/>
  <c r="J468" i="3"/>
  <c r="I468" i="3"/>
  <c r="H468" i="3"/>
  <c r="G468" i="3"/>
  <c r="F468" i="3"/>
  <c r="L467" i="3"/>
  <c r="Q88" i="15" s="1"/>
  <c r="G88" i="15" s="1"/>
  <c r="E467" i="3"/>
  <c r="L466" i="3"/>
  <c r="E466" i="3"/>
  <c r="L465" i="3"/>
  <c r="E465" i="3"/>
  <c r="K464" i="3"/>
  <c r="I76" i="14" s="1"/>
  <c r="J464" i="3"/>
  <c r="H76" i="14" s="1"/>
  <c r="I464" i="3"/>
  <c r="G76" i="14" s="1"/>
  <c r="H464" i="3"/>
  <c r="G464" i="3"/>
  <c r="F464" i="3"/>
  <c r="E459" i="3"/>
  <c r="F457" i="3"/>
  <c r="F454" i="3"/>
  <c r="E443" i="3"/>
  <c r="F441" i="3"/>
  <c r="F438" i="3"/>
  <c r="L431" i="3"/>
  <c r="E431" i="3"/>
  <c r="L430" i="3"/>
  <c r="E430" i="3"/>
  <c r="K429" i="3"/>
  <c r="K432" i="3" s="1"/>
  <c r="J429" i="3"/>
  <c r="J432" i="3" s="1"/>
  <c r="I429" i="3"/>
  <c r="H429" i="3"/>
  <c r="H432" i="3"/>
  <c r="G429" i="3"/>
  <c r="F429" i="3"/>
  <c r="F432" i="3" s="1"/>
  <c r="L428" i="3"/>
  <c r="E428" i="3"/>
  <c r="L427" i="3"/>
  <c r="E33" i="16" s="1"/>
  <c r="O33" i="16" s="1"/>
  <c r="E427" i="3"/>
  <c r="D33" i="16" s="1"/>
  <c r="L426" i="3"/>
  <c r="E426" i="3"/>
  <c r="L425" i="3"/>
  <c r="E425" i="3"/>
  <c r="M425" i="3" s="1"/>
  <c r="L421" i="3"/>
  <c r="E421" i="3"/>
  <c r="L420" i="3"/>
  <c r="E420" i="3"/>
  <c r="L419" i="3"/>
  <c r="E419" i="3"/>
  <c r="L418" i="3"/>
  <c r="E418" i="3"/>
  <c r="L417" i="3"/>
  <c r="E417" i="3"/>
  <c r="L416" i="3"/>
  <c r="E416" i="3"/>
  <c r="K415" i="3"/>
  <c r="I62" i="14" s="1"/>
  <c r="J415" i="3"/>
  <c r="H62" i="14" s="1"/>
  <c r="I415" i="3"/>
  <c r="G62" i="14" s="1"/>
  <c r="H415" i="3"/>
  <c r="G415" i="3"/>
  <c r="F415" i="3"/>
  <c r="L414" i="3"/>
  <c r="E414" i="3"/>
  <c r="M414" i="3" s="1"/>
  <c r="L413" i="3"/>
  <c r="E413" i="3"/>
  <c r="K412" i="3"/>
  <c r="J412" i="3"/>
  <c r="I412" i="3"/>
  <c r="H412" i="3"/>
  <c r="G412" i="3"/>
  <c r="F412" i="3"/>
  <c r="L411" i="3"/>
  <c r="E411" i="3"/>
  <c r="L410" i="3"/>
  <c r="E410" i="3"/>
  <c r="K409" i="3"/>
  <c r="J409" i="3"/>
  <c r="I409" i="3"/>
  <c r="H409" i="3"/>
  <c r="G409" i="3"/>
  <c r="F409" i="3"/>
  <c r="L408" i="3"/>
  <c r="E408" i="3"/>
  <c r="E60" i="14" s="1"/>
  <c r="L407" i="3"/>
  <c r="E407" i="3"/>
  <c r="L406" i="3"/>
  <c r="E406" i="3"/>
  <c r="M406" i="3" s="1"/>
  <c r="K405" i="3"/>
  <c r="J405" i="3"/>
  <c r="I405" i="3"/>
  <c r="H405" i="3"/>
  <c r="G405" i="3"/>
  <c r="F405" i="3"/>
  <c r="L404" i="3"/>
  <c r="E404" i="3"/>
  <c r="L403" i="3"/>
  <c r="E403" i="3"/>
  <c r="K402" i="3"/>
  <c r="J402" i="3"/>
  <c r="I402" i="3"/>
  <c r="H402" i="3"/>
  <c r="G402" i="3"/>
  <c r="F402" i="3"/>
  <c r="L401" i="3"/>
  <c r="E401" i="3"/>
  <c r="L400" i="3"/>
  <c r="E400" i="3"/>
  <c r="M400" i="3" s="1"/>
  <c r="K399" i="3"/>
  <c r="J399" i="3"/>
  <c r="I399" i="3"/>
  <c r="H399" i="3"/>
  <c r="G399" i="3"/>
  <c r="F399" i="3"/>
  <c r="L398" i="3"/>
  <c r="E398" i="3"/>
  <c r="L397" i="3"/>
  <c r="E397" i="3"/>
  <c r="M397" i="3" s="1"/>
  <c r="L396" i="3"/>
  <c r="E396" i="3"/>
  <c r="L395" i="3"/>
  <c r="E395" i="3"/>
  <c r="K394" i="3"/>
  <c r="J394" i="3"/>
  <c r="I394" i="3"/>
  <c r="H394" i="3"/>
  <c r="G394" i="3"/>
  <c r="F394" i="3"/>
  <c r="L393" i="3"/>
  <c r="E393" i="3"/>
  <c r="L392" i="3"/>
  <c r="E392" i="3"/>
  <c r="K391" i="3"/>
  <c r="J391" i="3"/>
  <c r="I391" i="3"/>
  <c r="H391" i="3"/>
  <c r="G391" i="3"/>
  <c r="F391" i="3"/>
  <c r="L390" i="3"/>
  <c r="E390" i="3"/>
  <c r="M390" i="3" s="1"/>
  <c r="L389" i="3"/>
  <c r="E389" i="3"/>
  <c r="L388" i="3"/>
  <c r="E388" i="3"/>
  <c r="L387" i="3"/>
  <c r="E387" i="3"/>
  <c r="K386" i="3"/>
  <c r="J386" i="3"/>
  <c r="I386" i="3"/>
  <c r="H386" i="3"/>
  <c r="G386" i="3"/>
  <c r="F386" i="3"/>
  <c r="L385" i="3"/>
  <c r="E385" i="3"/>
  <c r="L384" i="3"/>
  <c r="E384" i="3"/>
  <c r="M384" i="3" s="1"/>
  <c r="L383" i="3"/>
  <c r="E383" i="3"/>
  <c r="L382" i="3"/>
  <c r="E382" i="3"/>
  <c r="L381" i="3"/>
  <c r="E381" i="3"/>
  <c r="L380" i="3"/>
  <c r="E380" i="3"/>
  <c r="L379" i="3"/>
  <c r="E379" i="3"/>
  <c r="K378" i="3"/>
  <c r="J378" i="3"/>
  <c r="I378" i="3"/>
  <c r="H378" i="3"/>
  <c r="G378" i="3"/>
  <c r="F378" i="3"/>
  <c r="L377" i="3"/>
  <c r="E377" i="3"/>
  <c r="L376" i="3"/>
  <c r="E376" i="3"/>
  <c r="M376" i="3" s="1"/>
  <c r="L375" i="3"/>
  <c r="E375" i="3"/>
  <c r="L374" i="3"/>
  <c r="E374" i="3"/>
  <c r="M374" i="3" s="1"/>
  <c r="L373" i="3"/>
  <c r="E373" i="3"/>
  <c r="L372" i="3"/>
  <c r="E372" i="3"/>
  <c r="L371" i="3"/>
  <c r="E371" i="3"/>
  <c r="L370" i="3"/>
  <c r="E370" i="3"/>
  <c r="M370" i="3" s="1"/>
  <c r="L369" i="3"/>
  <c r="E369" i="3"/>
  <c r="L368" i="3"/>
  <c r="E368" i="3"/>
  <c r="L367" i="3"/>
  <c r="E367" i="3"/>
  <c r="L366" i="3"/>
  <c r="E366" i="3"/>
  <c r="M366" i="3" s="1"/>
  <c r="L365" i="3"/>
  <c r="E365" i="3"/>
  <c r="M365" i="3" s="1"/>
  <c r="K364" i="3"/>
  <c r="J364" i="3"/>
  <c r="I364" i="3"/>
  <c r="H364" i="3"/>
  <c r="G364" i="3"/>
  <c r="F364" i="3"/>
  <c r="E358" i="3"/>
  <c r="F356" i="3"/>
  <c r="F353" i="3"/>
  <c r="E181" i="3"/>
  <c r="F179" i="3"/>
  <c r="F176" i="3"/>
  <c r="L166" i="3"/>
  <c r="E166" i="3"/>
  <c r="L165" i="3"/>
  <c r="E165" i="3"/>
  <c r="L164" i="3"/>
  <c r="E164" i="3"/>
  <c r="L163" i="3"/>
  <c r="E163" i="3"/>
  <c r="L162" i="3"/>
  <c r="E162" i="3"/>
  <c r="L161" i="3"/>
  <c r="E161" i="3"/>
  <c r="L160" i="3"/>
  <c r="E160" i="3"/>
  <c r="L159" i="3"/>
  <c r="E159" i="3"/>
  <c r="K158" i="3"/>
  <c r="J158" i="3"/>
  <c r="I158" i="3"/>
  <c r="H158" i="3"/>
  <c r="G158" i="3"/>
  <c r="F158" i="3"/>
  <c r="L157" i="3"/>
  <c r="E157" i="3"/>
  <c r="L156" i="3"/>
  <c r="E156" i="3"/>
  <c r="L155" i="3"/>
  <c r="E155" i="3"/>
  <c r="L154" i="3"/>
  <c r="E154" i="3"/>
  <c r="M154" i="3" s="1"/>
  <c r="L153" i="3"/>
  <c r="E153" i="3"/>
  <c r="L152" i="3"/>
  <c r="E152" i="3"/>
  <c r="L151" i="3"/>
  <c r="E151" i="3"/>
  <c r="L150" i="3"/>
  <c r="E150" i="3"/>
  <c r="M150" i="3" s="1"/>
  <c r="K149" i="3"/>
  <c r="J149" i="3"/>
  <c r="I149" i="3"/>
  <c r="H149" i="3"/>
  <c r="G149" i="3"/>
  <c r="F149" i="3"/>
  <c r="L148" i="3"/>
  <c r="E148" i="3"/>
  <c r="L147" i="3"/>
  <c r="E147" i="3"/>
  <c r="L146" i="3"/>
  <c r="E146" i="3"/>
  <c r="L145" i="3"/>
  <c r="E145" i="3"/>
  <c r="L144" i="3"/>
  <c r="E144" i="3"/>
  <c r="M144" i="3" s="1"/>
  <c r="L143" i="3"/>
  <c r="E143" i="3"/>
  <c r="L142" i="3"/>
  <c r="E142" i="3"/>
  <c r="L141" i="3"/>
  <c r="E141" i="3"/>
  <c r="K140" i="3"/>
  <c r="J140" i="3"/>
  <c r="I140" i="3"/>
  <c r="H140" i="3"/>
  <c r="G140" i="3"/>
  <c r="F140" i="3"/>
  <c r="L139" i="3"/>
  <c r="E139" i="3"/>
  <c r="L138" i="3"/>
  <c r="E138" i="3"/>
  <c r="K137" i="3"/>
  <c r="I36" i="14" s="1"/>
  <c r="J137" i="3"/>
  <c r="H36" i="14" s="1"/>
  <c r="I137" i="3"/>
  <c r="G36" i="14" s="1"/>
  <c r="H137" i="3"/>
  <c r="G137" i="3"/>
  <c r="F137" i="3"/>
  <c r="L136" i="3"/>
  <c r="E136" i="3"/>
  <c r="M136" i="3" s="1"/>
  <c r="L135" i="3"/>
  <c r="E135" i="3"/>
  <c r="L134" i="3"/>
  <c r="E134" i="3"/>
  <c r="L133" i="3"/>
  <c r="Q25" i="15" s="1"/>
  <c r="G25" i="15" s="1"/>
  <c r="E133" i="3"/>
  <c r="P25" i="15" s="1"/>
  <c r="F25" i="15" s="1"/>
  <c r="L132" i="3"/>
  <c r="E132" i="3"/>
  <c r="M132" i="3" s="1"/>
  <c r="L131" i="3"/>
  <c r="E131" i="3"/>
  <c r="L130" i="3"/>
  <c r="E130" i="3"/>
  <c r="M130" i="3" s="1"/>
  <c r="L129" i="3"/>
  <c r="E129" i="3"/>
  <c r="L128" i="3"/>
  <c r="E128" i="3"/>
  <c r="M128" i="3" s="1"/>
  <c r="L127" i="3"/>
  <c r="E127" i="3"/>
  <c r="L126" i="3"/>
  <c r="E126" i="3"/>
  <c r="L125" i="3"/>
  <c r="E125" i="3"/>
  <c r="L124" i="3"/>
  <c r="E124" i="3"/>
  <c r="K123" i="3"/>
  <c r="I33" i="14" s="1"/>
  <c r="J123" i="3"/>
  <c r="H33" i="14" s="1"/>
  <c r="I123" i="3"/>
  <c r="G33" i="14" s="1"/>
  <c r="H123" i="3"/>
  <c r="G123" i="3"/>
  <c r="F123" i="3"/>
  <c r="L122" i="3"/>
  <c r="Q38" i="15" s="1"/>
  <c r="G38" i="15" s="1"/>
  <c r="E122" i="3"/>
  <c r="L121" i="3"/>
  <c r="Q37" i="15" s="1"/>
  <c r="G37" i="15" s="1"/>
  <c r="E121" i="3"/>
  <c r="L120" i="3"/>
  <c r="E120" i="3"/>
  <c r="K119" i="3"/>
  <c r="J119" i="3"/>
  <c r="I119" i="3"/>
  <c r="H119" i="3"/>
  <c r="G119" i="3"/>
  <c r="F119" i="3"/>
  <c r="L118" i="3"/>
  <c r="E118" i="3"/>
  <c r="L117" i="3"/>
  <c r="E117" i="3"/>
  <c r="L116" i="3"/>
  <c r="E116" i="3"/>
  <c r="L115" i="3"/>
  <c r="E115" i="3"/>
  <c r="L114" i="3"/>
  <c r="E114" i="3"/>
  <c r="P15" i="15" s="1"/>
  <c r="F15" i="15" s="1"/>
  <c r="L112" i="3"/>
  <c r="E112" i="3"/>
  <c r="L111" i="3"/>
  <c r="E111" i="3"/>
  <c r="M111" i="3" s="1"/>
  <c r="K110" i="3"/>
  <c r="J110" i="3"/>
  <c r="H32" i="14" s="1"/>
  <c r="I110" i="3"/>
  <c r="H110" i="3"/>
  <c r="G110" i="3"/>
  <c r="F110" i="3"/>
  <c r="L109" i="3"/>
  <c r="E109" i="3"/>
  <c r="L108" i="3"/>
  <c r="E108" i="3"/>
  <c r="L107" i="3"/>
  <c r="E107" i="3"/>
  <c r="P27" i="15" s="1"/>
  <c r="F27" i="15" s="1"/>
  <c r="K106" i="3"/>
  <c r="I31" i="14" s="1"/>
  <c r="J106" i="3"/>
  <c r="H31" i="14" s="1"/>
  <c r="I106" i="3"/>
  <c r="G31" i="14"/>
  <c r="H106" i="3"/>
  <c r="G106" i="3"/>
  <c r="F106" i="3"/>
  <c r="L105" i="3"/>
  <c r="E105" i="3"/>
  <c r="L104" i="3"/>
  <c r="E104" i="3"/>
  <c r="L103" i="3"/>
  <c r="E103" i="3"/>
  <c r="L102" i="3"/>
  <c r="E102" i="3"/>
  <c r="L101" i="3"/>
  <c r="M101" i="3" s="1"/>
  <c r="E101" i="3"/>
  <c r="L100" i="3"/>
  <c r="E100" i="3"/>
  <c r="L99" i="3"/>
  <c r="M99" i="3" s="1"/>
  <c r="E99" i="3"/>
  <c r="L98" i="3"/>
  <c r="E98" i="3"/>
  <c r="L97" i="3"/>
  <c r="E97" i="3"/>
  <c r="L96" i="3"/>
  <c r="E96" i="3"/>
  <c r="L95" i="3"/>
  <c r="E95" i="3"/>
  <c r="K94" i="3"/>
  <c r="J94" i="3"/>
  <c r="I94" i="3"/>
  <c r="G30" i="14" s="1"/>
  <c r="H94" i="3"/>
  <c r="G94" i="3"/>
  <c r="F94" i="3"/>
  <c r="L93" i="3"/>
  <c r="M93" i="3" s="1"/>
  <c r="E93" i="3"/>
  <c r="L92" i="3"/>
  <c r="E92" i="3"/>
  <c r="L91" i="3"/>
  <c r="E91" i="3"/>
  <c r="K90" i="3"/>
  <c r="I90" i="3"/>
  <c r="H90" i="3"/>
  <c r="F90" i="3"/>
  <c r="L89" i="3"/>
  <c r="E89" i="3"/>
  <c r="L88" i="3"/>
  <c r="E88" i="3"/>
  <c r="L86" i="3"/>
  <c r="E86" i="3"/>
  <c r="L85" i="3"/>
  <c r="M85" i="3" s="1"/>
  <c r="E85" i="3"/>
  <c r="L84" i="3"/>
  <c r="E84" i="3"/>
  <c r="L83" i="3"/>
  <c r="E83" i="3"/>
  <c r="L82" i="3"/>
  <c r="E82" i="3"/>
  <c r="L81" i="3"/>
  <c r="E81" i="3"/>
  <c r="L80" i="3"/>
  <c r="E80" i="3"/>
  <c r="L79" i="3"/>
  <c r="E79" i="3"/>
  <c r="L78" i="3"/>
  <c r="E78" i="3"/>
  <c r="L77" i="3"/>
  <c r="Q17" i="15" s="1"/>
  <c r="G17" i="15" s="1"/>
  <c r="E77" i="3"/>
  <c r="P17" i="15" s="1"/>
  <c r="F17" i="15" s="1"/>
  <c r="L76" i="3"/>
  <c r="E76" i="3"/>
  <c r="L75" i="3"/>
  <c r="E75" i="3"/>
  <c r="K74" i="3"/>
  <c r="I26" i="14" s="1"/>
  <c r="J74" i="3"/>
  <c r="H26" i="14"/>
  <c r="I74" i="3"/>
  <c r="G26" i="14" s="1"/>
  <c r="H74" i="3"/>
  <c r="G74" i="3"/>
  <c r="F74" i="3"/>
  <c r="L73" i="3"/>
  <c r="E73" i="3"/>
  <c r="L72" i="3"/>
  <c r="E72" i="3"/>
  <c r="M72" i="3" s="1"/>
  <c r="L71" i="3"/>
  <c r="E71" i="3"/>
  <c r="L70" i="3"/>
  <c r="E70" i="3"/>
  <c r="L69" i="3"/>
  <c r="E69" i="3"/>
  <c r="L68" i="3"/>
  <c r="E68" i="3"/>
  <c r="L67" i="3"/>
  <c r="E67" i="3"/>
  <c r="L66" i="3"/>
  <c r="E66" i="3"/>
  <c r="M66" i="3" s="1"/>
  <c r="K65" i="3"/>
  <c r="J65" i="3"/>
  <c r="I65" i="3"/>
  <c r="H65" i="3"/>
  <c r="G65" i="3"/>
  <c r="F65" i="3"/>
  <c r="L64" i="3"/>
  <c r="E64" i="3"/>
  <c r="L63" i="3"/>
  <c r="E63" i="3"/>
  <c r="L62" i="3"/>
  <c r="E62" i="3"/>
  <c r="K61" i="3"/>
  <c r="J61" i="3"/>
  <c r="I61" i="3"/>
  <c r="H61" i="3"/>
  <c r="G61" i="3"/>
  <c r="F61" i="3"/>
  <c r="L60" i="3"/>
  <c r="E60" i="3"/>
  <c r="M60" i="3" s="1"/>
  <c r="L59" i="3"/>
  <c r="E59" i="3"/>
  <c r="K58" i="3"/>
  <c r="J58" i="3"/>
  <c r="I58" i="3"/>
  <c r="H58" i="3"/>
  <c r="G58" i="3"/>
  <c r="F58" i="3"/>
  <c r="L57" i="3"/>
  <c r="E57" i="3"/>
  <c r="L56" i="3"/>
  <c r="E10" i="16" s="1"/>
  <c r="O10" i="16" s="1"/>
  <c r="E56" i="3"/>
  <c r="D10" i="16" s="1"/>
  <c r="L55" i="3"/>
  <c r="E55" i="3"/>
  <c r="L54" i="3"/>
  <c r="E54" i="3"/>
  <c r="M54" i="3" s="1"/>
  <c r="L53" i="3"/>
  <c r="E53" i="3"/>
  <c r="K52" i="3"/>
  <c r="J52" i="3"/>
  <c r="I52" i="3"/>
  <c r="H52" i="3"/>
  <c r="G52" i="3"/>
  <c r="F52" i="3"/>
  <c r="L51" i="3"/>
  <c r="E51" i="3"/>
  <c r="L50" i="3"/>
  <c r="E50" i="3"/>
  <c r="M50" i="3" s="1"/>
  <c r="L49" i="3"/>
  <c r="E49" i="3"/>
  <c r="L48" i="3"/>
  <c r="E48" i="3"/>
  <c r="K47" i="3"/>
  <c r="J47" i="3"/>
  <c r="I47" i="3"/>
  <c r="H47" i="3"/>
  <c r="G47" i="3"/>
  <c r="F47" i="3"/>
  <c r="L46" i="3"/>
  <c r="E46" i="3"/>
  <c r="M46" i="3" s="1"/>
  <c r="L45" i="3"/>
  <c r="E45" i="3"/>
  <c r="L44" i="3"/>
  <c r="E44" i="3"/>
  <c r="M44" i="3" s="1"/>
  <c r="L43" i="3"/>
  <c r="E43" i="3"/>
  <c r="L42" i="3"/>
  <c r="E42" i="3"/>
  <c r="L41" i="3"/>
  <c r="E41" i="3"/>
  <c r="L40" i="3"/>
  <c r="E40" i="3"/>
  <c r="M40" i="3" s="1"/>
  <c r="K39" i="3"/>
  <c r="J39" i="3"/>
  <c r="I39" i="3"/>
  <c r="H39" i="3"/>
  <c r="G39" i="3"/>
  <c r="F39" i="3"/>
  <c r="L38" i="3"/>
  <c r="E38" i="3"/>
  <c r="M38" i="3" s="1"/>
  <c r="L37" i="3"/>
  <c r="E37" i="3"/>
  <c r="L36" i="3"/>
  <c r="E36" i="3"/>
  <c r="M36" i="3" s="1"/>
  <c r="L35" i="3"/>
  <c r="E35" i="3"/>
  <c r="L34" i="3"/>
  <c r="E34" i="3"/>
  <c r="K33" i="3"/>
  <c r="J33" i="3"/>
  <c r="I33" i="3"/>
  <c r="H33" i="3"/>
  <c r="G33" i="3"/>
  <c r="F33" i="3"/>
  <c r="L32" i="3"/>
  <c r="E32" i="3"/>
  <c r="L31" i="3"/>
  <c r="E31" i="3"/>
  <c r="L30" i="3"/>
  <c r="E30" i="3"/>
  <c r="L29" i="3"/>
  <c r="E29" i="3"/>
  <c r="K28" i="3"/>
  <c r="J28" i="3"/>
  <c r="I28" i="3"/>
  <c r="H28" i="3"/>
  <c r="G28" i="3"/>
  <c r="F28" i="3"/>
  <c r="L27" i="3"/>
  <c r="E27" i="3"/>
  <c r="L26" i="3"/>
  <c r="E26" i="3"/>
  <c r="L24" i="3"/>
  <c r="E24" i="3"/>
  <c r="L23" i="3"/>
  <c r="E23" i="3"/>
  <c r="B455" i="3"/>
  <c r="B454" i="3"/>
  <c r="B442" i="3"/>
  <c r="B439" i="3"/>
  <c r="B438" i="3"/>
  <c r="B357" i="3"/>
  <c r="B354" i="3"/>
  <c r="B353" i="3"/>
  <c r="B180" i="3"/>
  <c r="B177" i="3"/>
  <c r="B176" i="3"/>
  <c r="M610" i="3"/>
  <c r="M301" i="3"/>
  <c r="M302" i="3"/>
  <c r="M303" i="3"/>
  <c r="M423" i="3"/>
  <c r="M424" i="3"/>
  <c r="G432" i="3"/>
  <c r="L34" i="16"/>
  <c r="L35" i="16" s="1"/>
  <c r="G34" i="16"/>
  <c r="G35" i="16" s="1"/>
  <c r="F34" i="16"/>
  <c r="F35" i="16" s="1"/>
  <c r="N34" i="16"/>
  <c r="N35" i="16" s="1"/>
  <c r="I34" i="16"/>
  <c r="I35" i="16" s="1"/>
  <c r="H34" i="16"/>
  <c r="H35" i="16" s="1"/>
  <c r="J34" i="16"/>
  <c r="J35" i="16"/>
  <c r="M34" i="16"/>
  <c r="M35" i="16" s="1"/>
  <c r="K34" i="16"/>
  <c r="K35" i="16" s="1"/>
  <c r="H64" i="16"/>
  <c r="L64" i="16"/>
  <c r="I64" i="16"/>
  <c r="M64" i="16"/>
  <c r="F64" i="16"/>
  <c r="J64" i="16"/>
  <c r="N64" i="16"/>
  <c r="G64" i="16"/>
  <c r="K64" i="16"/>
  <c r="I104" i="15"/>
  <c r="I130" i="15"/>
  <c r="J43" i="15"/>
  <c r="J74" i="15"/>
  <c r="L51" i="15"/>
  <c r="L58" i="15"/>
  <c r="L91" i="15"/>
  <c r="J70" i="15"/>
  <c r="L109" i="15"/>
  <c r="L13" i="15"/>
  <c r="I93" i="15"/>
  <c r="I98" i="15"/>
  <c r="L94" i="15"/>
  <c r="E59" i="16"/>
  <c r="O59" i="16" s="1"/>
  <c r="F358" i="3"/>
  <c r="F459" i="3"/>
  <c r="F181" i="3"/>
  <c r="F443" i="3"/>
  <c r="J22" i="15"/>
  <c r="H71" i="14"/>
  <c r="S134" i="11"/>
  <c r="E454" i="3"/>
  <c r="E176" i="3"/>
  <c r="L43" i="15"/>
  <c r="L116" i="15"/>
  <c r="I94" i="15"/>
  <c r="E79" i="14"/>
  <c r="Q98" i="15"/>
  <c r="G98" i="15" s="1"/>
  <c r="J25" i="15"/>
  <c r="O60" i="16"/>
  <c r="M71" i="3"/>
  <c r="M568" i="3"/>
  <c r="P37" i="15"/>
  <c r="M498" i="3"/>
  <c r="E28" i="14"/>
  <c r="M596" i="3"/>
  <c r="M488" i="3"/>
  <c r="M578" i="3"/>
  <c r="B351" i="3"/>
  <c r="M141" i="3"/>
  <c r="E56" i="16"/>
  <c r="O56" i="16" s="1"/>
  <c r="P91" i="15"/>
  <c r="F91" i="15" s="1"/>
  <c r="D51" i="16"/>
  <c r="M538" i="3"/>
  <c r="G422" i="3"/>
  <c r="L594" i="3"/>
  <c r="I124" i="15"/>
  <c r="J60" i="15"/>
  <c r="F15" i="14"/>
  <c r="J105" i="15"/>
  <c r="J124" i="15"/>
  <c r="L38" i="15"/>
  <c r="M372" i="3"/>
  <c r="M25" i="3"/>
  <c r="L53" i="15"/>
  <c r="J65" i="15"/>
  <c r="J117" i="15"/>
  <c r="L534" i="3"/>
  <c r="B441" i="3"/>
  <c r="L37" i="15"/>
  <c r="J18" i="15"/>
  <c r="L112" i="15"/>
  <c r="J16" i="15"/>
  <c r="M598" i="3"/>
  <c r="Q15" i="15"/>
  <c r="M125" i="3"/>
  <c r="L519" i="3"/>
  <c r="E49" i="16" s="1"/>
  <c r="O49" i="16" s="1"/>
  <c r="M522" i="3"/>
  <c r="P112" i="15"/>
  <c r="M550" i="3"/>
  <c r="M542" i="3"/>
  <c r="L544" i="3"/>
  <c r="Q36" i="15"/>
  <c r="G36" i="15" s="1"/>
  <c r="M574" i="3"/>
  <c r="M554" i="3"/>
  <c r="M536" i="3"/>
  <c r="P18" i="15"/>
  <c r="F18" i="15" s="1"/>
  <c r="H59" i="14"/>
  <c r="D14" i="16"/>
  <c r="M482" i="3"/>
  <c r="E82" i="14"/>
  <c r="L134" i="11"/>
  <c r="T134" i="11" s="1"/>
  <c r="L118" i="11"/>
  <c r="T118" i="11" s="1"/>
  <c r="L130" i="11"/>
  <c r="T130" i="11" s="1"/>
  <c r="E471" i="3"/>
  <c r="D39" i="16" s="1"/>
  <c r="M570" i="3"/>
  <c r="Q27" i="15"/>
  <c r="E468" i="3"/>
  <c r="E78" i="14"/>
  <c r="E62" i="16"/>
  <c r="O62" i="16" s="1"/>
  <c r="M588" i="3"/>
  <c r="Q129" i="15"/>
  <c r="D41" i="16"/>
  <c r="E54" i="16"/>
  <c r="O54" i="16" s="1"/>
  <c r="M548" i="3"/>
  <c r="Q116" i="15"/>
  <c r="G116" i="15" s="1"/>
  <c r="E68" i="16"/>
  <c r="O68" i="16" s="1"/>
  <c r="L527" i="3"/>
  <c r="M532" i="3"/>
  <c r="M466" i="3"/>
  <c r="P117" i="15"/>
  <c r="F117" i="15" s="1"/>
  <c r="D61" i="16"/>
  <c r="E45" i="16"/>
  <c r="O45" i="16" s="1"/>
  <c r="M556" i="3"/>
  <c r="Q122" i="15"/>
  <c r="G122" i="15" s="1"/>
  <c r="M127" i="3"/>
  <c r="Q113" i="15"/>
  <c r="G113" i="15" s="1"/>
  <c r="E57" i="16"/>
  <c r="O57" i="16" s="1"/>
  <c r="M580" i="3"/>
  <c r="M502" i="3"/>
  <c r="J26" i="17"/>
  <c r="G33" i="17"/>
  <c r="H33" i="17"/>
  <c r="I13" i="17"/>
  <c r="J13" i="17"/>
  <c r="D24" i="17"/>
  <c r="J24" i="17" s="1"/>
  <c r="T50" i="11"/>
  <c r="I9" i="17"/>
  <c r="P98" i="15"/>
  <c r="F98" i="15" s="1"/>
  <c r="C24" i="17"/>
  <c r="C33" i="17" s="1"/>
  <c r="C35" i="17" s="1"/>
  <c r="C5" i="17" s="1"/>
  <c r="T124" i="11"/>
  <c r="E83" i="14"/>
  <c r="L119" i="3"/>
  <c r="Q35" i="15" s="1"/>
  <c r="G35" i="15" s="1"/>
  <c r="Q108" i="15"/>
  <c r="C2" i="16"/>
  <c r="B2" i="16" s="1"/>
  <c r="T73" i="11"/>
  <c r="T105" i="11"/>
  <c r="T78" i="11"/>
  <c r="B356" i="3"/>
  <c r="B452" i="3"/>
  <c r="L95" i="11"/>
  <c r="T95" i="11" s="1"/>
  <c r="E66" i="16"/>
  <c r="O66" i="16" s="1"/>
  <c r="Q125" i="15"/>
  <c r="G125" i="15" s="1"/>
  <c r="N125" i="15" s="1"/>
  <c r="Q131" i="15"/>
  <c r="M480" i="3"/>
  <c r="M486" i="3"/>
  <c r="M496" i="3"/>
  <c r="M514" i="3"/>
  <c r="M518" i="3"/>
  <c r="M552" i="3"/>
  <c r="M97" i="3"/>
  <c r="M387" i="3"/>
  <c r="G88" i="14"/>
  <c r="I88" i="14"/>
  <c r="M558" i="3"/>
  <c r="M560" i="3"/>
  <c r="M565" i="3"/>
  <c r="M572" i="3"/>
  <c r="M108" i="3"/>
  <c r="M726" i="3"/>
  <c r="M153" i="3"/>
  <c r="M411" i="3"/>
  <c r="M421" i="3"/>
  <c r="I59" i="14"/>
  <c r="M492" i="3"/>
  <c r="M494" i="3"/>
  <c r="M504" i="3"/>
  <c r="G87" i="14"/>
  <c r="M512" i="3"/>
  <c r="L515" i="3"/>
  <c r="Q104" i="15" s="1"/>
  <c r="M520" i="3"/>
  <c r="M526" i="3"/>
  <c r="M528" i="3"/>
  <c r="M584" i="3"/>
  <c r="M586" i="3"/>
  <c r="B174" i="3"/>
  <c r="M727" i="3"/>
  <c r="M129" i="3"/>
  <c r="M131" i="3"/>
  <c r="L137" i="3"/>
  <c r="Q45" i="15" s="1"/>
  <c r="G45" i="15" s="1"/>
  <c r="M157" i="3"/>
  <c r="M161" i="3"/>
  <c r="M369" i="3"/>
  <c r="M403" i="3"/>
  <c r="M417" i="3"/>
  <c r="M419" i="3"/>
  <c r="M470" i="3"/>
  <c r="L474" i="3"/>
  <c r="M516" i="3"/>
  <c r="L524" i="3"/>
  <c r="H750" i="3"/>
  <c r="I57" i="14"/>
  <c r="K422" i="3"/>
  <c r="D54" i="16"/>
  <c r="I54" i="15"/>
  <c r="L61" i="15"/>
  <c r="I88" i="15"/>
  <c r="L124" i="15"/>
  <c r="J94" i="15"/>
  <c r="I69" i="15"/>
  <c r="J122" i="15"/>
  <c r="J131" i="15"/>
  <c r="J37" i="15"/>
  <c r="L16" i="15"/>
  <c r="I92" i="15"/>
  <c r="J21" i="15"/>
  <c r="I112" i="15"/>
  <c r="I20" i="15"/>
  <c r="I43" i="15"/>
  <c r="L44" i="15"/>
  <c r="J92" i="15"/>
  <c r="L18" i="15"/>
  <c r="M576" i="3"/>
  <c r="M48" i="3"/>
  <c r="G37" i="14"/>
  <c r="M371" i="3"/>
  <c r="M407" i="3"/>
  <c r="M428" i="3"/>
  <c r="M431" i="3"/>
  <c r="P87" i="15"/>
  <c r="F87" i="15" s="1"/>
  <c r="M490" i="3"/>
  <c r="I87" i="14"/>
  <c r="B621" i="3"/>
  <c r="F623" i="3"/>
  <c r="M728" i="3"/>
  <c r="M730" i="3"/>
  <c r="M734" i="3"/>
  <c r="M738" i="3"/>
  <c r="M740" i="3"/>
  <c r="M743" i="3"/>
  <c r="E438" i="3"/>
  <c r="M633" i="3"/>
  <c r="M637" i="3"/>
  <c r="M639" i="3"/>
  <c r="M644" i="3"/>
  <c r="M648" i="3"/>
  <c r="M746" i="3"/>
  <c r="G131" i="15"/>
  <c r="G9" i="15"/>
  <c r="J55" i="15"/>
  <c r="L42" i="15"/>
  <c r="L123" i="15"/>
  <c r="L127" i="15" s="1"/>
  <c r="J116" i="15"/>
  <c r="L108" i="15"/>
  <c r="L110" i="15" s="1"/>
  <c r="J98" i="15"/>
  <c r="I52" i="15"/>
  <c r="I16" i="15"/>
  <c r="I129" i="15"/>
  <c r="I53" i="15"/>
  <c r="L113" i="15"/>
  <c r="L114" i="15" s="1"/>
  <c r="L80" i="15"/>
  <c r="I62" i="15"/>
  <c r="I70" i="15"/>
  <c r="J52" i="15"/>
  <c r="I123" i="15"/>
  <c r="J36" i="15"/>
  <c r="L73" i="15"/>
  <c r="I108" i="15"/>
  <c r="L70" i="15"/>
  <c r="L74" i="15"/>
  <c r="I25" i="15"/>
  <c r="I109" i="15"/>
  <c r="I61" i="15"/>
  <c r="L26" i="15"/>
  <c r="J79" i="15"/>
  <c r="J45" i="15"/>
  <c r="L36" i="15"/>
  <c r="I87" i="15"/>
  <c r="I79" i="15"/>
  <c r="I42" i="15"/>
  <c r="L97" i="15"/>
  <c r="L105" i="15"/>
  <c r="I40" i="15"/>
  <c r="I80" i="15"/>
  <c r="I65" i="15"/>
  <c r="J35" i="15"/>
  <c r="J97" i="15"/>
  <c r="I22" i="15"/>
  <c r="I27" i="15"/>
  <c r="I73" i="15"/>
  <c r="L98" i="15"/>
  <c r="J108" i="15"/>
  <c r="J53" i="15"/>
  <c r="J109" i="15"/>
  <c r="J62" i="15"/>
  <c r="L54" i="15"/>
  <c r="L131" i="15"/>
  <c r="L130" i="15"/>
  <c r="L62" i="15"/>
  <c r="I105" i="15"/>
  <c r="L27" i="15"/>
  <c r="I97" i="15"/>
  <c r="I99" i="15" s="1"/>
  <c r="J15" i="15"/>
  <c r="J14" i="15"/>
  <c r="L19" i="15"/>
  <c r="J51" i="15"/>
  <c r="J66" i="15"/>
  <c r="J93" i="15"/>
  <c r="J91" i="15"/>
  <c r="I45" i="15"/>
  <c r="L88" i="15"/>
  <c r="I117" i="15"/>
  <c r="I14" i="15"/>
  <c r="J13" i="15"/>
  <c r="J129" i="15"/>
  <c r="J42" i="15"/>
  <c r="L25" i="15"/>
  <c r="J61" i="15"/>
  <c r="I17" i="15"/>
  <c r="F37" i="15"/>
  <c r="J38" i="15"/>
  <c r="L21" i="15"/>
  <c r="J20" i="15"/>
  <c r="L35" i="15"/>
  <c r="I113" i="15"/>
  <c r="L22" i="15"/>
  <c r="L17" i="15"/>
  <c r="J58" i="15"/>
  <c r="I13" i="15"/>
  <c r="L92" i="15"/>
  <c r="I38" i="15"/>
  <c r="J40" i="15"/>
  <c r="J54" i="15"/>
  <c r="J44" i="15"/>
  <c r="I74" i="15"/>
  <c r="I18" i="15"/>
  <c r="L60" i="15"/>
  <c r="J112" i="15"/>
  <c r="J26" i="15"/>
  <c r="I51" i="15"/>
  <c r="M42" i="3"/>
  <c r="M145" i="3"/>
  <c r="M163" i="3"/>
  <c r="M379" i="3"/>
  <c r="E668" i="3"/>
  <c r="E672" i="3"/>
  <c r="E678" i="3"/>
  <c r="E684" i="3"/>
  <c r="E688" i="3"/>
  <c r="E706" i="3"/>
  <c r="M680" i="3"/>
  <c r="M696" i="3"/>
  <c r="M700" i="3"/>
  <c r="M656" i="3"/>
  <c r="J8" i="17"/>
  <c r="I37" i="15"/>
  <c r="L129" i="15"/>
  <c r="I55" i="15"/>
  <c r="L87" i="15"/>
  <c r="L66" i="15"/>
  <c r="I26" i="15"/>
  <c r="J59" i="15"/>
  <c r="I36" i="15"/>
  <c r="L20" i="15"/>
  <c r="L117" i="15"/>
  <c r="L79" i="15"/>
  <c r="I19" i="15"/>
  <c r="J130" i="15"/>
  <c r="L15" i="15"/>
  <c r="L45" i="15"/>
  <c r="L46" i="15" s="1"/>
  <c r="I15" i="15"/>
  <c r="I66" i="15"/>
  <c r="J17" i="15"/>
  <c r="I44" i="15"/>
  <c r="J80" i="15"/>
  <c r="I60" i="15"/>
  <c r="J73" i="15"/>
  <c r="L14" i="15"/>
  <c r="L59" i="15"/>
  <c r="I21" i="15"/>
  <c r="L93" i="15"/>
  <c r="I58" i="15"/>
  <c r="J104" i="15"/>
  <c r="J88" i="15"/>
  <c r="J27" i="15"/>
  <c r="G15" i="15"/>
  <c r="F112" i="15"/>
  <c r="G27" i="15"/>
  <c r="G129" i="15"/>
  <c r="I116" i="15"/>
  <c r="J113" i="15"/>
  <c r="I122" i="15"/>
  <c r="I35" i="15"/>
  <c r="L65" i="15"/>
  <c r="J19" i="15"/>
  <c r="J87" i="15"/>
  <c r="L52" i="15"/>
  <c r="L104" i="15"/>
  <c r="L106" i="15" s="1"/>
  <c r="I91" i="15"/>
  <c r="I59" i="15"/>
  <c r="J123" i="15"/>
  <c r="J69" i="15"/>
  <c r="L69" i="15"/>
  <c r="L55" i="15"/>
  <c r="L40" i="15"/>
  <c r="I131" i="15"/>
  <c r="I132" i="15" s="1"/>
  <c r="L122" i="15"/>
  <c r="M708" i="3"/>
  <c r="F27" i="14"/>
  <c r="M652" i="3"/>
  <c r="M660" i="3"/>
  <c r="M690" i="3"/>
  <c r="F62" i="14"/>
  <c r="E697" i="3"/>
  <c r="F82" i="14"/>
  <c r="F96" i="14"/>
  <c r="N9" i="15"/>
  <c r="C630" i="3"/>
  <c r="H257" i="3" s="1"/>
  <c r="I199" i="3"/>
  <c r="J195" i="3"/>
  <c r="F231" i="3"/>
  <c r="H214" i="3"/>
  <c r="H240" i="3"/>
  <c r="E194" i="3"/>
  <c r="I217" i="3"/>
  <c r="I263" i="3"/>
  <c r="H276" i="3"/>
  <c r="K270" i="3"/>
  <c r="K253" i="3"/>
  <c r="G220" i="3"/>
  <c r="H212" i="3"/>
  <c r="F246" i="3"/>
  <c r="F292" i="3"/>
  <c r="G257" i="3"/>
  <c r="F262" i="3"/>
  <c r="K265" i="3"/>
  <c r="E257" i="3"/>
  <c r="K251" i="3"/>
  <c r="L229" i="3"/>
  <c r="F220" i="3"/>
  <c r="J271" i="3"/>
  <c r="J270" i="3"/>
  <c r="F289" i="3"/>
  <c r="I242" i="3"/>
  <c r="L199" i="3"/>
  <c r="K230" i="3"/>
  <c r="E288" i="3"/>
  <c r="J276" i="3"/>
  <c r="G285" i="3"/>
  <c r="H244" i="3"/>
  <c r="G192" i="3"/>
  <c r="F222" i="3"/>
  <c r="F253" i="3"/>
  <c r="G211" i="3"/>
  <c r="E249" i="3"/>
  <c r="L225" i="3"/>
  <c r="J199" i="3"/>
  <c r="I230" i="3"/>
  <c r="L219" i="3"/>
  <c r="L192" i="3"/>
  <c r="F263" i="3"/>
  <c r="K245" i="3"/>
  <c r="L213" i="3"/>
  <c r="H202" i="3"/>
  <c r="K281" i="3"/>
  <c r="G231" i="3"/>
  <c r="K213" i="3"/>
  <c r="F203" i="3"/>
  <c r="J256" i="3"/>
  <c r="K241" i="3"/>
  <c r="G228" i="3"/>
  <c r="F202" i="3"/>
  <c r="H193" i="3"/>
  <c r="I256" i="3"/>
  <c r="G225" i="3"/>
  <c r="K207" i="3"/>
  <c r="F197" i="3"/>
  <c r="I284" i="3"/>
  <c r="G270" i="3"/>
  <c r="L262" i="3"/>
  <c r="K289" i="3"/>
  <c r="G269" i="3"/>
  <c r="L257" i="3"/>
  <c r="E270" i="3"/>
  <c r="G271" i="3"/>
  <c r="F198" i="3"/>
  <c r="K208" i="3"/>
  <c r="H217" i="3"/>
  <c r="J253" i="3"/>
  <c r="I292" i="3"/>
  <c r="E203" i="3"/>
  <c r="I219" i="3"/>
  <c r="K242" i="3"/>
  <c r="L253" i="3"/>
  <c r="G200" i="3"/>
  <c r="K212" i="3"/>
  <c r="J220" i="3"/>
  <c r="I262" i="3"/>
  <c r="L188" i="3"/>
  <c r="H201" i="3"/>
  <c r="E211" i="3"/>
  <c r="J224" i="3"/>
  <c r="G234" i="3"/>
  <c r="L191" i="3"/>
  <c r="K195" i="3"/>
  <c r="G206" i="3"/>
  <c r="F240" i="3"/>
  <c r="H263" i="3"/>
  <c r="E216" i="3"/>
  <c r="F264" i="3"/>
  <c r="G264" i="3"/>
  <c r="K263" i="3"/>
  <c r="E271" i="3"/>
  <c r="J266" i="3"/>
  <c r="F269" i="3"/>
  <c r="F200" i="3"/>
  <c r="E235" i="3"/>
  <c r="H197" i="3"/>
  <c r="J246" i="3"/>
  <c r="K191" i="3"/>
  <c r="E241" i="3"/>
  <c r="J254" i="3"/>
  <c r="H294" i="3"/>
  <c r="J201" i="3"/>
  <c r="I207" i="3"/>
  <c r="E246" i="3"/>
  <c r="H210" i="3"/>
  <c r="E197" i="3"/>
  <c r="F282" i="3"/>
  <c r="G288" i="3"/>
  <c r="F255" i="3"/>
  <c r="L202" i="3"/>
  <c r="G247" i="3"/>
  <c r="G283" i="3"/>
  <c r="L23" i="15"/>
  <c r="J277" i="3"/>
  <c r="G222" i="3"/>
  <c r="J235" i="3"/>
  <c r="F288" i="3"/>
  <c r="G219" i="3"/>
  <c r="E226" i="3"/>
  <c r="L224" i="3"/>
  <c r="E218" i="3"/>
  <c r="H251" i="3"/>
  <c r="H266" i="3"/>
  <c r="K215" i="3"/>
  <c r="H225" i="3"/>
  <c r="I191" i="3"/>
  <c r="E232" i="3"/>
  <c r="G194" i="3"/>
  <c r="J265" i="3"/>
  <c r="G267" i="3"/>
  <c r="E222" i="3"/>
  <c r="H208" i="3"/>
  <c r="E192" i="3"/>
  <c r="L247" i="3"/>
  <c r="L221" i="3"/>
  <c r="I200" i="3"/>
  <c r="L244" i="3"/>
  <c r="I229" i="3"/>
  <c r="F207" i="3"/>
  <c r="I225" i="3"/>
  <c r="E208" i="3"/>
  <c r="I195" i="3"/>
  <c r="J215" i="3"/>
  <c r="F201" i="3"/>
  <c r="E277" i="3"/>
  <c r="I213" i="3"/>
  <c r="E200" i="3"/>
  <c r="K286" i="3"/>
  <c r="G276" i="3"/>
  <c r="H292" i="3"/>
  <c r="E255" i="3"/>
  <c r="G293" i="3"/>
  <c r="E269" i="3"/>
  <c r="K285" i="3"/>
  <c r="H192" i="3"/>
  <c r="E201" i="3"/>
  <c r="H220" i="3"/>
  <c r="H248" i="3"/>
  <c r="J188" i="3"/>
  <c r="I222" i="3"/>
  <c r="I246" i="3"/>
  <c r="K189" i="3"/>
  <c r="I226" i="3"/>
  <c r="J248" i="3"/>
  <c r="G297" i="3"/>
  <c r="J225" i="3"/>
  <c r="L249" i="3"/>
  <c r="M249" i="3" s="1"/>
  <c r="E298" i="3"/>
  <c r="G207" i="3"/>
  <c r="H235" i="3"/>
  <c r="I257" i="3"/>
  <c r="E221" i="3"/>
  <c r="I283" i="3"/>
  <c r="F215" i="3"/>
  <c r="E248" i="3"/>
  <c r="E193" i="3"/>
  <c r="L230" i="3"/>
  <c r="L292" i="3"/>
  <c r="J297" i="3"/>
  <c r="H53" i="14" s="1"/>
  <c r="F219" i="3"/>
  <c r="E229" i="3"/>
  <c r="K298" i="3"/>
  <c r="E282" i="3"/>
  <c r="K299" i="3"/>
  <c r="I54" i="14" s="1"/>
  <c r="F256" i="3"/>
  <c r="I212" i="3"/>
  <c r="K202" i="3"/>
  <c r="F247" i="3"/>
  <c r="F194" i="3"/>
  <c r="E228" i="3"/>
  <c r="I250" i="3"/>
  <c r="L263" i="3"/>
  <c r="L264" i="3"/>
  <c r="I297" i="3"/>
  <c r="G53" i="14" s="1"/>
  <c r="L295" i="3"/>
  <c r="Q70" i="15" s="1"/>
  <c r="G70" i="15" s="1"/>
  <c r="L297" i="3"/>
  <c r="G255" i="3"/>
  <c r="I280" i="3"/>
  <c r="H209" i="3"/>
  <c r="H250" i="3"/>
  <c r="F195" i="3"/>
  <c r="G216" i="3"/>
  <c r="F265" i="3"/>
  <c r="I276" i="3"/>
  <c r="K266" i="3"/>
  <c r="E264" i="3"/>
  <c r="G265" i="3"/>
  <c r="K295" i="3"/>
  <c r="K297" i="3"/>
  <c r="I53" i="14" s="1"/>
  <c r="I299" i="3"/>
  <c r="G54" i="14" s="1"/>
  <c r="F229" i="3"/>
  <c r="K240" i="3"/>
  <c r="J247" i="3"/>
  <c r="L245" i="3"/>
  <c r="K262" i="3"/>
  <c r="F206" i="3"/>
  <c r="F244" i="3"/>
  <c r="K264" i="3"/>
  <c r="I267" i="3"/>
  <c r="K206" i="3"/>
  <c r="J213" i="3"/>
  <c r="J226" i="3"/>
  <c r="L220" i="3"/>
  <c r="G188" i="3"/>
  <c r="H229" i="3"/>
  <c r="F241" i="3"/>
  <c r="F284" i="3"/>
  <c r="N747" i="3"/>
  <c r="B616" i="3"/>
  <c r="G287" i="3" s="1"/>
  <c r="B436" i="3"/>
  <c r="K294" i="3"/>
  <c r="K234" i="3"/>
  <c r="E224" i="3"/>
  <c r="E284" i="3"/>
  <c r="J267" i="3"/>
  <c r="E299" i="3"/>
  <c r="E54" i="14" s="1"/>
  <c r="G242" i="3"/>
  <c r="E295" i="3"/>
  <c r="P70" i="15" s="1"/>
  <c r="F70" i="15" s="1"/>
  <c r="L217" i="3"/>
  <c r="L211" i="3"/>
  <c r="J212" i="3"/>
  <c r="K250" i="3"/>
  <c r="I214" i="3"/>
  <c r="E256" i="3"/>
  <c r="J203" i="3"/>
  <c r="G241" i="3"/>
  <c r="F250" i="3"/>
  <c r="J229" i="3"/>
  <c r="E214" i="3"/>
  <c r="E188" i="3"/>
  <c r="E242" i="3"/>
  <c r="K217" i="3"/>
  <c r="J194" i="3"/>
  <c r="I254" i="3"/>
  <c r="K188" i="3"/>
  <c r="I221" i="3"/>
  <c r="F199" i="3"/>
  <c r="H265" i="3"/>
  <c r="I215" i="3"/>
  <c r="H191" i="3"/>
  <c r="H262" i="3"/>
  <c r="J282" i="3"/>
  <c r="E253" i="3"/>
  <c r="E289" i="3"/>
  <c r="J280" i="3"/>
  <c r="F248" i="3"/>
  <c r="L281" i="3"/>
  <c r="J207" i="3"/>
  <c r="E195" i="3"/>
  <c r="K201" i="3"/>
  <c r="K197" i="3"/>
  <c r="J228" i="3"/>
  <c r="K222" i="3"/>
  <c r="J289" i="3"/>
  <c r="H285" i="3"/>
  <c r="I220" i="3"/>
  <c r="J288" i="3"/>
  <c r="F276" i="3"/>
  <c r="E285" i="3"/>
  <c r="J251" i="3"/>
  <c r="J202" i="3"/>
  <c r="L254" i="3"/>
  <c r="L218" i="3"/>
  <c r="M218" i="3" s="1"/>
  <c r="I202" i="3"/>
  <c r="H231" i="3"/>
  <c r="H199" i="3"/>
  <c r="G232" i="3"/>
  <c r="K214" i="3"/>
  <c r="I193" i="3"/>
  <c r="H226" i="3"/>
  <c r="K209" i="3"/>
  <c r="J284" i="3"/>
  <c r="H219" i="3"/>
  <c r="G195" i="3"/>
  <c r="H297" i="3"/>
  <c r="G266" i="3"/>
  <c r="L99" i="15"/>
  <c r="J95" i="15"/>
  <c r="N25" i="15"/>
  <c r="I77" i="14"/>
  <c r="I9" i="15"/>
  <c r="F9" i="15"/>
  <c r="K261" i="3"/>
  <c r="G261" i="3"/>
  <c r="N116" i="15"/>
  <c r="G248" i="3"/>
  <c r="H232" i="3"/>
  <c r="F230" i="3"/>
  <c r="F271" i="3"/>
  <c r="J198" i="3"/>
  <c r="H293" i="3"/>
  <c r="H245" i="3"/>
  <c r="F295" i="3"/>
  <c r="I208" i="3"/>
  <c r="G250" i="3"/>
  <c r="F209" i="3"/>
  <c r="G201" i="3"/>
  <c r="K228" i="3"/>
  <c r="E212" i="3"/>
  <c r="G202" i="3"/>
  <c r="H194" i="3"/>
  <c r="E281" i="3"/>
  <c r="H271" i="3"/>
  <c r="I209" i="3"/>
  <c r="F257" i="3"/>
  <c r="K288" i="3"/>
  <c r="G282" i="3"/>
  <c r="L266" i="3"/>
  <c r="K269" i="3"/>
  <c r="H299" i="3"/>
  <c r="G245" i="3"/>
  <c r="J206" i="3"/>
  <c r="G295" i="3"/>
  <c r="H241" i="3"/>
  <c r="E262" i="3"/>
  <c r="G256" i="3"/>
  <c r="H254" i="3"/>
  <c r="H269" i="3"/>
  <c r="F298" i="3"/>
  <c r="I241" i="3"/>
  <c r="F226" i="3"/>
  <c r="K203" i="3"/>
  <c r="J234" i="3"/>
  <c r="F216" i="3"/>
  <c r="H281" i="3"/>
  <c r="I266" i="3"/>
  <c r="E254" i="3"/>
  <c r="I253" i="3"/>
  <c r="J208" i="3"/>
  <c r="G244" i="3"/>
  <c r="E286" i="3"/>
  <c r="G254" i="3"/>
  <c r="J299" i="3"/>
  <c r="H54" i="14" s="1"/>
  <c r="L294" i="3"/>
  <c r="L255" i="3"/>
  <c r="F224" i="3"/>
  <c r="J255" i="3"/>
  <c r="G214" i="3"/>
  <c r="E220" i="3"/>
  <c r="I235" i="3"/>
  <c r="F188" i="3"/>
  <c r="L246" i="3"/>
  <c r="M246" i="3" s="1"/>
  <c r="K225" i="3"/>
  <c r="J197" i="3"/>
  <c r="H286" i="3"/>
  <c r="K216" i="3"/>
  <c r="I198" i="3"/>
  <c r="L256" i="3"/>
  <c r="L240" i="3"/>
  <c r="J217" i="3"/>
  <c r="K277" i="3"/>
  <c r="F232" i="3"/>
  <c r="J214" i="3"/>
  <c r="L235" i="3"/>
  <c r="J211" i="3"/>
  <c r="H298" i="3"/>
  <c r="G277" i="3"/>
  <c r="J281" i="3"/>
  <c r="F299" i="3"/>
  <c r="J283" i="3"/>
  <c r="J257" i="3"/>
  <c r="F280" i="3"/>
  <c r="E202" i="3"/>
  <c r="H221" i="3"/>
  <c r="I192" i="3"/>
  <c r="H224" i="3"/>
  <c r="I247" i="3"/>
  <c r="H289" i="3"/>
  <c r="E206" i="3"/>
  <c r="F235" i="3"/>
  <c r="J285" i="3"/>
  <c r="I197" i="3"/>
  <c r="E240" i="3"/>
  <c r="G251" i="3"/>
  <c r="F210" i="3"/>
  <c r="J286" i="3"/>
  <c r="E219" i="3"/>
  <c r="I265" i="3"/>
  <c r="G294" i="3"/>
  <c r="H246" i="3"/>
  <c r="L208" i="3"/>
  <c r="M208" i="3" s="1"/>
  <c r="I248" i="3"/>
  <c r="E207" i="3"/>
  <c r="F234" i="3"/>
  <c r="H200" i="3"/>
  <c r="I228" i="3"/>
  <c r="K194" i="3"/>
  <c r="L222" i="3"/>
  <c r="M222" i="3" s="1"/>
  <c r="I255" i="3"/>
  <c r="I203" i="3"/>
  <c r="I234" i="3"/>
  <c r="F192" i="3"/>
  <c r="F249" i="3"/>
  <c r="H284" i="3"/>
  <c r="G263" i="3"/>
  <c r="F285" i="3"/>
  <c r="L299" i="3"/>
  <c r="Q62" i="15" s="1"/>
  <c r="G62" i="15" s="1"/>
  <c r="E293" i="3"/>
  <c r="H256" i="3"/>
  <c r="I289" i="3"/>
  <c r="N45" i="15"/>
  <c r="N88" i="15"/>
  <c r="N98" i="15"/>
  <c r="N62" i="15" l="1"/>
  <c r="Q9" i="15"/>
  <c r="J9" i="15"/>
  <c r="J75" i="15"/>
  <c r="H196" i="3"/>
  <c r="E123" i="3"/>
  <c r="H37" i="14"/>
  <c r="E378" i="3"/>
  <c r="H58" i="14"/>
  <c r="E386" i="3"/>
  <c r="E394" i="3"/>
  <c r="M533" i="3"/>
  <c r="M537" i="3"/>
  <c r="M541" i="3"/>
  <c r="M555" i="3"/>
  <c r="M557" i="3"/>
  <c r="M559" i="3"/>
  <c r="M563" i="3"/>
  <c r="M571" i="3"/>
  <c r="M573" i="3"/>
  <c r="M575" i="3"/>
  <c r="M579" i="3"/>
  <c r="M581" i="3"/>
  <c r="M585" i="3"/>
  <c r="M587" i="3"/>
  <c r="M591" i="3"/>
  <c r="M597" i="3"/>
  <c r="M599" i="3"/>
  <c r="F29" i="14"/>
  <c r="F72" i="14"/>
  <c r="F78" i="14"/>
  <c r="F84" i="14"/>
  <c r="F93" i="14"/>
  <c r="M634" i="3"/>
  <c r="M636" i="3"/>
  <c r="M638" i="3"/>
  <c r="M640" i="3"/>
  <c r="M645" i="3"/>
  <c r="M647" i="3"/>
  <c r="M649" i="3"/>
  <c r="M651" i="3"/>
  <c r="M653" i="3"/>
  <c r="M655" i="3"/>
  <c r="M657" i="3"/>
  <c r="M659" i="3"/>
  <c r="M663" i="3"/>
  <c r="M665" i="3"/>
  <c r="M667" i="3"/>
  <c r="M671" i="3"/>
  <c r="M675" i="3"/>
  <c r="M679" i="3"/>
  <c r="H274" i="3"/>
  <c r="L300" i="3"/>
  <c r="G300" i="3"/>
  <c r="F259" i="3"/>
  <c r="N129" i="15"/>
  <c r="E409" i="3"/>
  <c r="F76" i="14"/>
  <c r="L464" i="3"/>
  <c r="E38" i="16" s="1"/>
  <c r="O38" i="16" s="1"/>
  <c r="M681" i="3"/>
  <c r="Q92" i="15"/>
  <c r="G92" i="15" s="1"/>
  <c r="E69" i="14"/>
  <c r="D42" i="16"/>
  <c r="H87" i="14"/>
  <c r="F87" i="14" s="1"/>
  <c r="E515" i="3"/>
  <c r="E524" i="3"/>
  <c r="H88" i="14"/>
  <c r="E527" i="3"/>
  <c r="P123" i="15" s="1"/>
  <c r="F123" i="15" s="1"/>
  <c r="E534" i="3"/>
  <c r="E544" i="3"/>
  <c r="P122" i="15"/>
  <c r="F122" i="15" s="1"/>
  <c r="F73" i="14"/>
  <c r="F79" i="14"/>
  <c r="F83" i="14"/>
  <c r="F90" i="14"/>
  <c r="F92" i="14"/>
  <c r="F94" i="14"/>
  <c r="M87" i="3"/>
  <c r="M683" i="3"/>
  <c r="M687" i="3"/>
  <c r="M691" i="3"/>
  <c r="M695" i="3"/>
  <c r="M699" i="3"/>
  <c r="M701" i="3"/>
  <c r="M705" i="3"/>
  <c r="M707" i="3"/>
  <c r="M709" i="3"/>
  <c r="M717" i="3"/>
  <c r="M719" i="3"/>
  <c r="M721" i="3"/>
  <c r="M725" i="3"/>
  <c r="M729" i="3"/>
  <c r="M739" i="3"/>
  <c r="M744" i="3"/>
  <c r="L89" i="15"/>
  <c r="L210" i="3"/>
  <c r="E91" i="14"/>
  <c r="L81" i="15"/>
  <c r="M24" i="3"/>
  <c r="M35" i="3"/>
  <c r="M59" i="3"/>
  <c r="M67" i="3"/>
  <c r="M69" i="3"/>
  <c r="M84" i="3"/>
  <c r="M86" i="3"/>
  <c r="M89" i="3"/>
  <c r="M121" i="3"/>
  <c r="M139" i="3"/>
  <c r="M367" i="3"/>
  <c r="I223" i="3"/>
  <c r="F237" i="3"/>
  <c r="H233" i="3"/>
  <c r="E239" i="3"/>
  <c r="I278" i="3"/>
  <c r="J296" i="3"/>
  <c r="H52" i="14" s="1"/>
  <c r="M257" i="3"/>
  <c r="L118" i="15"/>
  <c r="L697" i="3"/>
  <c r="M697" i="3" s="1"/>
  <c r="L28" i="15"/>
  <c r="L48" i="15" s="1"/>
  <c r="D47" i="16"/>
  <c r="P43" i="15"/>
  <c r="F43" i="15" s="1"/>
  <c r="J236" i="3"/>
  <c r="E260" i="3"/>
  <c r="H261" i="3"/>
  <c r="L272" i="3"/>
  <c r="J110" i="15"/>
  <c r="M388" i="3"/>
  <c r="D60" i="16"/>
  <c r="M567" i="3"/>
  <c r="H238" i="3"/>
  <c r="E261" i="3"/>
  <c r="D24" i="16" s="1"/>
  <c r="I252" i="3"/>
  <c r="G63" i="14" s="1"/>
  <c r="F204" i="3"/>
  <c r="H190" i="3"/>
  <c r="J272" i="3"/>
  <c r="L195" i="3"/>
  <c r="M195" i="3" s="1"/>
  <c r="L226" i="3"/>
  <c r="M226" i="3" s="1"/>
  <c r="I95" i="15"/>
  <c r="E73" i="14"/>
  <c r="M473" i="3"/>
  <c r="M553" i="3"/>
  <c r="E90" i="14"/>
  <c r="P19" i="15"/>
  <c r="F19" i="15" s="1"/>
  <c r="M410" i="3"/>
  <c r="M534" i="3"/>
  <c r="E75" i="14"/>
  <c r="P125" i="15"/>
  <c r="F125" i="15" s="1"/>
  <c r="E594" i="3"/>
  <c r="E95" i="14" s="1"/>
  <c r="L232" i="3"/>
  <c r="M232" i="3" s="1"/>
  <c r="L248" i="3"/>
  <c r="M248" i="3" s="1"/>
  <c r="L282" i="3"/>
  <c r="M282" i="3" s="1"/>
  <c r="M731" i="3"/>
  <c r="M733" i="3"/>
  <c r="M735" i="3"/>
  <c r="M737" i="3"/>
  <c r="M742" i="3"/>
  <c r="I28" i="15"/>
  <c r="E48" i="16"/>
  <c r="O48" i="16" s="1"/>
  <c r="I127" i="15"/>
  <c r="M80" i="3"/>
  <c r="M98" i="3"/>
  <c r="M100" i="3"/>
  <c r="M102" i="3"/>
  <c r="M662" i="3"/>
  <c r="M716" i="3"/>
  <c r="P21" i="15"/>
  <c r="F21" i="15" s="1"/>
  <c r="J56" i="15"/>
  <c r="H260" i="3"/>
  <c r="E252" i="3"/>
  <c r="J279" i="3"/>
  <c r="H268" i="3"/>
  <c r="I300" i="3"/>
  <c r="G55" i="14" s="1"/>
  <c r="F190" i="3"/>
  <c r="F252" i="3"/>
  <c r="I238" i="3"/>
  <c r="F274" i="3"/>
  <c r="G187" i="3"/>
  <c r="J233" i="3"/>
  <c r="G272" i="3"/>
  <c r="H236" i="3"/>
  <c r="I260" i="3"/>
  <c r="J275" i="3"/>
  <c r="H51" i="14" s="1"/>
  <c r="J300" i="3"/>
  <c r="H55" i="14" s="1"/>
  <c r="J268" i="3"/>
  <c r="F243" i="3"/>
  <c r="E227" i="3"/>
  <c r="I287" i="3"/>
  <c r="K238" i="3"/>
  <c r="G259" i="3"/>
  <c r="K236" i="3"/>
  <c r="K237" i="3"/>
  <c r="D48" i="16"/>
  <c r="M515" i="3"/>
  <c r="J204" i="3"/>
  <c r="I243" i="3"/>
  <c r="G275" i="3"/>
  <c r="K233" i="3"/>
  <c r="F236" i="3"/>
  <c r="F278" i="3"/>
  <c r="K278" i="3"/>
  <c r="H272" i="3"/>
  <c r="I290" i="3"/>
  <c r="J287" i="3"/>
  <c r="K187" i="3"/>
  <c r="I40" i="14" s="1"/>
  <c r="J239" i="3"/>
  <c r="K296" i="3"/>
  <c r="I52" i="14" s="1"/>
  <c r="K300" i="3"/>
  <c r="I55" i="14" s="1"/>
  <c r="G260" i="3"/>
  <c r="K227" i="3"/>
  <c r="I274" i="3"/>
  <c r="H259" i="3"/>
  <c r="K258" i="3"/>
  <c r="F272" i="3"/>
  <c r="J196" i="3"/>
  <c r="H42" i="14" s="1"/>
  <c r="E300" i="3"/>
  <c r="E55" i="14" s="1"/>
  <c r="E233" i="3"/>
  <c r="H273" i="3"/>
  <c r="E278" i="3"/>
  <c r="D26" i="16" s="1"/>
  <c r="F260" i="3"/>
  <c r="F258" i="3"/>
  <c r="L258" i="3"/>
  <c r="J223" i="3"/>
  <c r="F196" i="3"/>
  <c r="L252" i="3"/>
  <c r="G290" i="3"/>
  <c r="H275" i="3"/>
  <c r="F290" i="3"/>
  <c r="G227" i="3"/>
  <c r="L237" i="3"/>
  <c r="J252" i="3"/>
  <c r="H63" i="14" s="1"/>
  <c r="H296" i="3"/>
  <c r="G237" i="3"/>
  <c r="E272" i="3"/>
  <c r="M272" i="3" s="1"/>
  <c r="H300" i="3"/>
  <c r="H290" i="3"/>
  <c r="F300" i="3"/>
  <c r="K252" i="3"/>
  <c r="I63" i="14" s="1"/>
  <c r="K290" i="3"/>
  <c r="I272" i="3"/>
  <c r="G273" i="3"/>
  <c r="M300" i="3"/>
  <c r="I237" i="3"/>
  <c r="J290" i="3"/>
  <c r="F273" i="3"/>
  <c r="K190" i="3"/>
  <c r="I41" i="14" s="1"/>
  <c r="I296" i="3"/>
  <c r="G52" i="14" s="1"/>
  <c r="F52" i="14" s="1"/>
  <c r="K243" i="3"/>
  <c r="I275" i="3"/>
  <c r="G51" i="14" s="1"/>
  <c r="H205" i="3"/>
  <c r="L236" i="3"/>
  <c r="H204" i="3"/>
  <c r="L290" i="3"/>
  <c r="I259" i="3"/>
  <c r="G47" i="14" s="1"/>
  <c r="G190" i="3"/>
  <c r="H279" i="3"/>
  <c r="F296" i="3"/>
  <c r="E273" i="3"/>
  <c r="E238" i="3"/>
  <c r="G279" i="3"/>
  <c r="H237" i="3"/>
  <c r="I291" i="3"/>
  <c r="G50" i="14" s="1"/>
  <c r="G291" i="3"/>
  <c r="H223" i="3"/>
  <c r="K260" i="3"/>
  <c r="I273" i="3"/>
  <c r="J238" i="3"/>
  <c r="F238" i="3"/>
  <c r="K223" i="3"/>
  <c r="D40" i="16"/>
  <c r="I190" i="3"/>
  <c r="G41" i="14" s="1"/>
  <c r="I118" i="15"/>
  <c r="N131" i="15"/>
  <c r="E96" i="14"/>
  <c r="M593" i="3"/>
  <c r="M549" i="3"/>
  <c r="P113" i="15"/>
  <c r="E74" i="14"/>
  <c r="M577" i="3"/>
  <c r="M551" i="3"/>
  <c r="E484" i="3"/>
  <c r="P130" i="15"/>
  <c r="F130" i="15" s="1"/>
  <c r="M517" i="3"/>
  <c r="M380" i="3"/>
  <c r="H77" i="14"/>
  <c r="Q93" i="15"/>
  <c r="G93" i="15" s="1"/>
  <c r="G68" i="14"/>
  <c r="F91" i="14"/>
  <c r="F750" i="3"/>
  <c r="F304" i="3" s="1"/>
  <c r="S6" i="15"/>
  <c r="M465" i="3"/>
  <c r="M124" i="3"/>
  <c r="P92" i="15"/>
  <c r="F92" i="15" s="1"/>
  <c r="E481" i="3"/>
  <c r="M467" i="3"/>
  <c r="M408" i="3"/>
  <c r="P131" i="15"/>
  <c r="F131" i="15" s="1"/>
  <c r="Q87" i="15"/>
  <c r="M583" i="3"/>
  <c r="E70" i="14"/>
  <c r="M56" i="3"/>
  <c r="F53" i="14"/>
  <c r="J118" i="15"/>
  <c r="M114" i="3"/>
  <c r="M535" i="3"/>
  <c r="Q105" i="15"/>
  <c r="G105" i="15" s="1"/>
  <c r="N105" i="15" s="1"/>
  <c r="L52" i="3"/>
  <c r="M530" i="3"/>
  <c r="F85" i="14"/>
  <c r="L193" i="3"/>
  <c r="M193" i="3" s="1"/>
  <c r="M262" i="3"/>
  <c r="J81" i="15"/>
  <c r="M220" i="3"/>
  <c r="L212" i="3"/>
  <c r="M212" i="3" s="1"/>
  <c r="J71" i="15"/>
  <c r="M229" i="3"/>
  <c r="L650" i="3"/>
  <c r="L205" i="3" s="1"/>
  <c r="M188" i="3"/>
  <c r="L200" i="3"/>
  <c r="M200" i="3" s="1"/>
  <c r="J67" i="15"/>
  <c r="M202" i="3"/>
  <c r="E58" i="3"/>
  <c r="E399" i="3"/>
  <c r="E402" i="3"/>
  <c r="E405" i="3"/>
  <c r="E412" i="3"/>
  <c r="L429" i="3"/>
  <c r="L432" i="3" s="1"/>
  <c r="Q80" i="15" s="1"/>
  <c r="G80" i="15" s="1"/>
  <c r="N80" i="15" s="1"/>
  <c r="L468" i="3"/>
  <c r="M468" i="3" s="1"/>
  <c r="P94" i="15"/>
  <c r="F94" i="15" s="1"/>
  <c r="L539" i="3"/>
  <c r="F28" i="14"/>
  <c r="M31" i="3"/>
  <c r="M546" i="3"/>
  <c r="M654" i="3"/>
  <c r="M658" i="3"/>
  <c r="L22" i="3"/>
  <c r="M398" i="3"/>
  <c r="M487" i="3"/>
  <c r="M489" i="3"/>
  <c r="M495" i="3"/>
  <c r="M673" i="3"/>
  <c r="M689" i="3"/>
  <c r="E63" i="14"/>
  <c r="M235" i="3"/>
  <c r="I67" i="15"/>
  <c r="J28" i="15"/>
  <c r="M32" i="3"/>
  <c r="H167" i="3"/>
  <c r="E33" i="3"/>
  <c r="M37" i="3"/>
  <c r="M45" i="3"/>
  <c r="M49" i="3"/>
  <c r="M51" i="3"/>
  <c r="E52" i="3"/>
  <c r="M57" i="3"/>
  <c r="M499" i="3"/>
  <c r="E500" i="3"/>
  <c r="M503" i="3"/>
  <c r="E519" i="3"/>
  <c r="M525" i="3"/>
  <c r="M595" i="3"/>
  <c r="E632" i="3"/>
  <c r="E635" i="3"/>
  <c r="E190" i="3" s="1"/>
  <c r="E41" i="14" s="1"/>
  <c r="L678" i="3"/>
  <c r="L233" i="3" s="1"/>
  <c r="M233" i="3" s="1"/>
  <c r="L684" i="3"/>
  <c r="M684" i="3" s="1"/>
  <c r="L724" i="3"/>
  <c r="L279" i="3" s="1"/>
  <c r="E27" i="16" s="1"/>
  <c r="O27" i="16" s="1"/>
  <c r="L732" i="3"/>
  <c r="L287" i="3" s="1"/>
  <c r="Q60" i="15" s="1"/>
  <c r="G60" i="15" s="1"/>
  <c r="N60" i="15" s="1"/>
  <c r="L736" i="3"/>
  <c r="L291" i="3" s="1"/>
  <c r="E30" i="16" s="1"/>
  <c r="O30" i="16" s="1"/>
  <c r="M686" i="3"/>
  <c r="M710" i="3"/>
  <c r="M27" i="3"/>
  <c r="M63" i="3"/>
  <c r="M73" i="3"/>
  <c r="E29" i="14"/>
  <c r="M81" i="3"/>
  <c r="M88" i="3"/>
  <c r="Q26" i="15"/>
  <c r="G26" i="15" s="1"/>
  <c r="G28" i="15" s="1"/>
  <c r="M165" i="3"/>
  <c r="L386" i="3"/>
  <c r="L409" i="3"/>
  <c r="M409" i="3" s="1"/>
  <c r="L412" i="3"/>
  <c r="M543" i="3"/>
  <c r="M545" i="3"/>
  <c r="M113" i="3"/>
  <c r="N27" i="15"/>
  <c r="E61" i="3"/>
  <c r="M693" i="3"/>
  <c r="M723" i="3"/>
  <c r="N26" i="15"/>
  <c r="I110" i="15"/>
  <c r="H30" i="14"/>
  <c r="N92" i="15"/>
  <c r="J132" i="15"/>
  <c r="M77" i="3"/>
  <c r="I106" i="15"/>
  <c r="E47" i="3"/>
  <c r="M53" i="3"/>
  <c r="M64" i="3"/>
  <c r="L65" i="3"/>
  <c r="M83" i="3"/>
  <c r="M117" i="3"/>
  <c r="N37" i="15"/>
  <c r="M377" i="3"/>
  <c r="M381" i="3"/>
  <c r="M383" i="3"/>
  <c r="M385" i="3"/>
  <c r="M389" i="3"/>
  <c r="I58" i="14"/>
  <c r="I56" i="14" s="1"/>
  <c r="P88" i="15"/>
  <c r="M566" i="3"/>
  <c r="Q148" i="11"/>
  <c r="S76" i="11"/>
  <c r="S130" i="11"/>
  <c r="F75" i="14"/>
  <c r="S82" i="11"/>
  <c r="L632" i="3"/>
  <c r="L187" i="3" s="1"/>
  <c r="M677" i="3"/>
  <c r="E720" i="3"/>
  <c r="E275" i="3" s="1"/>
  <c r="E51" i="14" s="1"/>
  <c r="E736" i="3"/>
  <c r="E741" i="3"/>
  <c r="I114" i="15"/>
  <c r="I75" i="15"/>
  <c r="I89" i="15"/>
  <c r="I101" i="15" s="1"/>
  <c r="M524" i="3"/>
  <c r="M79" i="3"/>
  <c r="E364" i="3"/>
  <c r="E74" i="3"/>
  <c r="E42" i="16"/>
  <c r="O42" i="16" s="1"/>
  <c r="M562" i="3"/>
  <c r="L58" i="3"/>
  <c r="F36" i="14"/>
  <c r="M143" i="3"/>
  <c r="M148" i="3"/>
  <c r="M152" i="3"/>
  <c r="M164" i="3"/>
  <c r="M166" i="3"/>
  <c r="M368" i="3"/>
  <c r="M382" i="3"/>
  <c r="D68" i="16"/>
  <c r="L569" i="3"/>
  <c r="Q130" i="15"/>
  <c r="G130" i="15" s="1"/>
  <c r="F74" i="14"/>
  <c r="E724" i="3"/>
  <c r="M221" i="3"/>
  <c r="L56" i="15"/>
  <c r="I86" i="14"/>
  <c r="M126" i="3"/>
  <c r="M138" i="3"/>
  <c r="M155" i="3"/>
  <c r="M493" i="3"/>
  <c r="E46" i="16"/>
  <c r="O46" i="16" s="1"/>
  <c r="G112" i="15"/>
  <c r="S66" i="11"/>
  <c r="I205" i="3"/>
  <c r="M669" i="3"/>
  <c r="M674" i="3"/>
  <c r="M704" i="3"/>
  <c r="M295" i="3"/>
  <c r="M224" i="3"/>
  <c r="J63" i="15"/>
  <c r="L71" i="15"/>
  <c r="L635" i="3"/>
  <c r="M281" i="3"/>
  <c r="M253" i="3"/>
  <c r="M219" i="3"/>
  <c r="M264" i="3"/>
  <c r="M240" i="3"/>
  <c r="M254" i="3"/>
  <c r="N70" i="15"/>
  <c r="F88" i="14"/>
  <c r="G86" i="14"/>
  <c r="L378" i="3"/>
  <c r="M378" i="3" s="1"/>
  <c r="P62" i="15"/>
  <c r="F62" i="15" s="1"/>
  <c r="M214" i="3"/>
  <c r="F54" i="14"/>
  <c r="M211" i="3"/>
  <c r="G221" i="3"/>
  <c r="H304" i="3"/>
  <c r="F221" i="3"/>
  <c r="E267" i="3"/>
  <c r="G289" i="3"/>
  <c r="J262" i="3"/>
  <c r="J89" i="15"/>
  <c r="L63" i="15"/>
  <c r="I23" i="15"/>
  <c r="N17" i="15"/>
  <c r="I46" i="15"/>
  <c r="Q52" i="15"/>
  <c r="G52" i="15" s="1"/>
  <c r="N52" i="15" s="1"/>
  <c r="F193" i="3"/>
  <c r="E280" i="3"/>
  <c r="J189" i="3"/>
  <c r="H267" i="3"/>
  <c r="K221" i="3"/>
  <c r="I206" i="3"/>
  <c r="G286" i="3"/>
  <c r="H288" i="3"/>
  <c r="K232" i="3"/>
  <c r="L298" i="3"/>
  <c r="M298" i="3" s="1"/>
  <c r="H282" i="3"/>
  <c r="E198" i="3"/>
  <c r="I211" i="3"/>
  <c r="I277" i="3"/>
  <c r="H211" i="3"/>
  <c r="F251" i="3"/>
  <c r="G189" i="3"/>
  <c r="F218" i="3"/>
  <c r="F242" i="3"/>
  <c r="I298" i="3"/>
  <c r="J241" i="3"/>
  <c r="J222" i="3"/>
  <c r="N28" i="15"/>
  <c r="E52" i="16"/>
  <c r="O52" i="16" s="1"/>
  <c r="Q97" i="15"/>
  <c r="G97" i="15" s="1"/>
  <c r="M544" i="3"/>
  <c r="B179" i="3"/>
  <c r="C2" i="17"/>
  <c r="B13" i="14"/>
  <c r="T140" i="11"/>
  <c r="L139" i="11"/>
  <c r="T139" i="11" s="1"/>
  <c r="J127" i="15"/>
  <c r="L120" i="15"/>
  <c r="L67" i="15"/>
  <c r="N15" i="15"/>
  <c r="I56" i="15"/>
  <c r="M55" i="3"/>
  <c r="M107" i="3"/>
  <c r="M34" i="3"/>
  <c r="F31" i="14"/>
  <c r="M116" i="3"/>
  <c r="S30" i="11"/>
  <c r="E618" i="3"/>
  <c r="E353" i="3"/>
  <c r="K750" i="3"/>
  <c r="K304" i="3" s="1"/>
  <c r="N122" i="15"/>
  <c r="E15" i="16"/>
  <c r="O15" i="16" s="1"/>
  <c r="J46" i="15"/>
  <c r="J23" i="15"/>
  <c r="L132" i="15"/>
  <c r="L75" i="15"/>
  <c r="E106" i="3"/>
  <c r="E31" i="14" s="1"/>
  <c r="M413" i="3"/>
  <c r="P124" i="15"/>
  <c r="P127" i="15" s="1"/>
  <c r="P104" i="15"/>
  <c r="F104" i="15" s="1"/>
  <c r="L47" i="3"/>
  <c r="N113" i="15"/>
  <c r="M133" i="3"/>
  <c r="L111" i="11"/>
  <c r="T111" i="11" s="1"/>
  <c r="M58" i="3"/>
  <c r="M103" i="3"/>
  <c r="M105" i="3"/>
  <c r="M373" i="3"/>
  <c r="I432" i="3"/>
  <c r="G59" i="14"/>
  <c r="L481" i="3"/>
  <c r="M481" i="3" s="1"/>
  <c r="F89" i="14"/>
  <c r="E58" i="16"/>
  <c r="O58" i="16" s="1"/>
  <c r="M561" i="3"/>
  <c r="L82" i="11"/>
  <c r="T82" i="11" s="1"/>
  <c r="I8" i="17"/>
  <c r="M666" i="3"/>
  <c r="J114" i="15"/>
  <c r="I63" i="15"/>
  <c r="M23" i="3"/>
  <c r="J106" i="15"/>
  <c r="Q124" i="15"/>
  <c r="G124" i="15" s="1"/>
  <c r="N124" i="15" s="1"/>
  <c r="F26" i="14"/>
  <c r="M146" i="3"/>
  <c r="G58" i="14"/>
  <c r="M395" i="3"/>
  <c r="M401" i="3"/>
  <c r="Q109" i="15"/>
  <c r="G109" i="15" s="1"/>
  <c r="N109" i="15" s="1"/>
  <c r="B457" i="3"/>
  <c r="T67" i="11"/>
  <c r="L66" i="11"/>
  <c r="T66" i="11" s="1"/>
  <c r="F60" i="14"/>
  <c r="M676" i="3"/>
  <c r="M692" i="3"/>
  <c r="M702" i="3"/>
  <c r="G32" i="14"/>
  <c r="F33" i="14"/>
  <c r="L123" i="3"/>
  <c r="E13" i="16" s="1"/>
  <c r="O13" i="16" s="1"/>
  <c r="E137" i="3"/>
  <c r="L415" i="3"/>
  <c r="M426" i="3"/>
  <c r="E464" i="3"/>
  <c r="L500" i="3"/>
  <c r="M500" i="3" s="1"/>
  <c r="E47" i="16"/>
  <c r="O47" i="16" s="1"/>
  <c r="M529" i="3"/>
  <c r="M531" i="3"/>
  <c r="S48" i="11"/>
  <c r="S95" i="11"/>
  <c r="F70" i="14"/>
  <c r="M664" i="3"/>
  <c r="L668" i="3"/>
  <c r="M682" i="3"/>
  <c r="M703" i="3"/>
  <c r="M718" i="3"/>
  <c r="L720" i="3"/>
  <c r="M720" i="3" s="1"/>
  <c r="E732" i="3"/>
  <c r="H23" i="14"/>
  <c r="E65" i="3"/>
  <c r="M65" i="3" s="1"/>
  <c r="M70" i="3"/>
  <c r="Q20" i="15"/>
  <c r="G20" i="15" s="1"/>
  <c r="N20" i="15" s="1"/>
  <c r="I30" i="14"/>
  <c r="M104" i="3"/>
  <c r="I32" i="14"/>
  <c r="Q40" i="15"/>
  <c r="G40" i="15" s="1"/>
  <c r="N40" i="15" s="1"/>
  <c r="L394" i="3"/>
  <c r="M394" i="3" s="1"/>
  <c r="L399" i="3"/>
  <c r="M399" i="3" s="1"/>
  <c r="L405" i="3"/>
  <c r="M405" i="3" s="1"/>
  <c r="M416" i="3"/>
  <c r="M418" i="3"/>
  <c r="M420" i="3"/>
  <c r="H600" i="3"/>
  <c r="H449" i="3" s="1"/>
  <c r="L471" i="3"/>
  <c r="G600" i="3"/>
  <c r="G449" i="3" s="1"/>
  <c r="P93" i="15"/>
  <c r="M477" i="3"/>
  <c r="M508" i="3"/>
  <c r="D46" i="16"/>
  <c r="F600" i="3"/>
  <c r="F449" i="3" s="1"/>
  <c r="N148" i="11"/>
  <c r="R148" i="11"/>
  <c r="S86" i="11"/>
  <c r="E641" i="3"/>
  <c r="M670" i="3"/>
  <c r="J750" i="3"/>
  <c r="J304" i="3" s="1"/>
  <c r="M685" i="3"/>
  <c r="M698" i="3"/>
  <c r="M711" i="3"/>
  <c r="M715" i="3"/>
  <c r="M722" i="3"/>
  <c r="L741" i="3"/>
  <c r="E89" i="14"/>
  <c r="I167" i="3"/>
  <c r="G23" i="14"/>
  <c r="L642" i="3"/>
  <c r="I641" i="3"/>
  <c r="I750" i="3" s="1"/>
  <c r="I304" i="3" s="1"/>
  <c r="E71" i="14"/>
  <c r="D11" i="16"/>
  <c r="E26" i="14"/>
  <c r="M43" i="3"/>
  <c r="E39" i="3"/>
  <c r="M62" i="3"/>
  <c r="L61" i="3"/>
  <c r="M61" i="3" s="1"/>
  <c r="M76" i="3"/>
  <c r="Q21" i="15"/>
  <c r="G21" i="15" s="1"/>
  <c r="N21" i="15" s="1"/>
  <c r="L74" i="3"/>
  <c r="E11" i="16" s="1"/>
  <c r="O11" i="16" s="1"/>
  <c r="M78" i="3"/>
  <c r="Q18" i="15"/>
  <c r="G18" i="15" s="1"/>
  <c r="N18" i="15" s="1"/>
  <c r="L90" i="3"/>
  <c r="M92" i="3"/>
  <c r="M96" i="3"/>
  <c r="L94" i="3"/>
  <c r="Q16" i="15"/>
  <c r="G16" i="15" s="1"/>
  <c r="N16" i="15" s="1"/>
  <c r="L106" i="3"/>
  <c r="Q22" i="15"/>
  <c r="G22" i="15" s="1"/>
  <c r="N22" i="15" s="1"/>
  <c r="L110" i="3"/>
  <c r="E429" i="3"/>
  <c r="M429" i="3" s="1"/>
  <c r="M430" i="3"/>
  <c r="E474" i="3"/>
  <c r="M475" i="3"/>
  <c r="M510" i="3"/>
  <c r="D45" i="16"/>
  <c r="E61" i="16"/>
  <c r="O61" i="16" s="1"/>
  <c r="Q117" i="15"/>
  <c r="L547" i="3"/>
  <c r="M564" i="3"/>
  <c r="E589" i="3"/>
  <c r="D65" i="16"/>
  <c r="M590" i="3"/>
  <c r="P129" i="15"/>
  <c r="F129" i="15" s="1"/>
  <c r="E93" i="14"/>
  <c r="M592" i="3"/>
  <c r="E94" i="14"/>
  <c r="D66" i="16"/>
  <c r="T40" i="11"/>
  <c r="L39" i="11"/>
  <c r="T39" i="11" s="1"/>
  <c r="H255" i="3"/>
  <c r="E217" i="3"/>
  <c r="J192" i="3"/>
  <c r="F212" i="3"/>
  <c r="L242" i="3"/>
  <c r="M242" i="3" s="1"/>
  <c r="G224" i="3"/>
  <c r="J269" i="3"/>
  <c r="G209" i="3"/>
  <c r="J244" i="3"/>
  <c r="G298" i="3"/>
  <c r="L189" i="3"/>
  <c r="H249" i="3"/>
  <c r="L277" i="3"/>
  <c r="I286" i="3"/>
  <c r="I270" i="3"/>
  <c r="K267" i="3"/>
  <c r="E250" i="3"/>
  <c r="G249" i="3"/>
  <c r="L201" i="3"/>
  <c r="M201" i="3" s="1"/>
  <c r="G210" i="3"/>
  <c r="I189" i="3"/>
  <c r="G203" i="3"/>
  <c r="F254" i="3"/>
  <c r="G281" i="3"/>
  <c r="L241" i="3"/>
  <c r="M241" i="3" s="1"/>
  <c r="K224" i="3"/>
  <c r="I281" i="3"/>
  <c r="K256" i="3"/>
  <c r="J249" i="3"/>
  <c r="I269" i="3"/>
  <c r="I251" i="3"/>
  <c r="I240" i="3"/>
  <c r="H264" i="3"/>
  <c r="G213" i="3"/>
  <c r="K280" i="3"/>
  <c r="H270" i="3"/>
  <c r="H283" i="3"/>
  <c r="K276" i="3"/>
  <c r="H213" i="3"/>
  <c r="H242" i="3"/>
  <c r="L198" i="3"/>
  <c r="M198" i="3" s="1"/>
  <c r="E263" i="3"/>
  <c r="M263" i="3" s="1"/>
  <c r="J294" i="3"/>
  <c r="G253" i="3"/>
  <c r="H280" i="3"/>
  <c r="H215" i="3"/>
  <c r="K200" i="3"/>
  <c r="G240" i="3"/>
  <c r="F214" i="3"/>
  <c r="E244" i="3"/>
  <c r="M244" i="3" s="1"/>
  <c r="I201" i="3"/>
  <c r="H230" i="3"/>
  <c r="J193" i="3"/>
  <c r="J221" i="3"/>
  <c r="F293" i="3"/>
  <c r="I218" i="3"/>
  <c r="L280" i="3"/>
  <c r="M280" i="3" s="1"/>
  <c r="H216" i="3"/>
  <c r="F297" i="3"/>
  <c r="J263" i="3"/>
  <c r="I293" i="3"/>
  <c r="L288" i="3"/>
  <c r="M288" i="3" s="1"/>
  <c r="I188" i="3"/>
  <c r="G226" i="3"/>
  <c r="G197" i="3"/>
  <c r="G229" i="3"/>
  <c r="J191" i="3"/>
  <c r="G230" i="3"/>
  <c r="K192" i="3"/>
  <c r="L215" i="3"/>
  <c r="F267" i="3"/>
  <c r="L216" i="3"/>
  <c r="M216" i="3" s="1"/>
  <c r="F189" i="3"/>
  <c r="J232" i="3"/>
  <c r="L283" i="3"/>
  <c r="J209" i="3"/>
  <c r="I216" i="3"/>
  <c r="I224" i="3"/>
  <c r="K218" i="3"/>
  <c r="H203" i="3"/>
  <c r="J230" i="3"/>
  <c r="K257" i="3"/>
  <c r="F286" i="3"/>
  <c r="G215" i="3"/>
  <c r="J298" i="3"/>
  <c r="L284" i="3"/>
  <c r="M284" i="3" s="1"/>
  <c r="L267" i="3"/>
  <c r="E213" i="3"/>
  <c r="M213" i="3" s="1"/>
  <c r="E297" i="3"/>
  <c r="K199" i="3"/>
  <c r="F294" i="3"/>
  <c r="K249" i="3"/>
  <c r="E234" i="3"/>
  <c r="L234" i="3"/>
  <c r="J264" i="3"/>
  <c r="L207" i="3"/>
  <c r="M207" i="3" s="1"/>
  <c r="L209" i="3"/>
  <c r="F208" i="3"/>
  <c r="L194" i="3"/>
  <c r="M194" i="3" s="1"/>
  <c r="J231" i="3"/>
  <c r="K231" i="3"/>
  <c r="F283" i="3"/>
  <c r="H188" i="3"/>
  <c r="I264" i="3"/>
  <c r="E225" i="3"/>
  <c r="M225" i="3" s="1"/>
  <c r="G217" i="3"/>
  <c r="L228" i="3"/>
  <c r="M228" i="3" s="1"/>
  <c r="L231" i="3"/>
  <c r="I295" i="3"/>
  <c r="L276" i="3"/>
  <c r="I210" i="3"/>
  <c r="K248" i="3"/>
  <c r="L206" i="3"/>
  <c r="M206" i="3" s="1"/>
  <c r="F281" i="3"/>
  <c r="J218" i="3"/>
  <c r="E230" i="3"/>
  <c r="M230" i="3" s="1"/>
  <c r="E265" i="3"/>
  <c r="G299" i="3"/>
  <c r="E191" i="3"/>
  <c r="M191" i="3" s="1"/>
  <c r="L270" i="3"/>
  <c r="M270" i="3" s="1"/>
  <c r="E251" i="3"/>
  <c r="L250" i="3"/>
  <c r="L289" i="3"/>
  <c r="M289" i="3" s="1"/>
  <c r="K198" i="3"/>
  <c r="G208" i="3"/>
  <c r="H228" i="3"/>
  <c r="I245" i="3"/>
  <c r="E231" i="3"/>
  <c r="K284" i="3"/>
  <c r="J295" i="3"/>
  <c r="E294" i="3"/>
  <c r="M294" i="3" s="1"/>
  <c r="K229" i="3"/>
  <c r="E189" i="3"/>
  <c r="J219" i="3"/>
  <c r="H222" i="3"/>
  <c r="I288" i="3"/>
  <c r="H234" i="3"/>
  <c r="I282" i="3"/>
  <c r="F270" i="3"/>
  <c r="I249" i="3"/>
  <c r="J240" i="3"/>
  <c r="I294" i="3"/>
  <c r="J250" i="3"/>
  <c r="H295" i="3"/>
  <c r="G262" i="3"/>
  <c r="J292" i="3"/>
  <c r="L203" i="3"/>
  <c r="M203" i="3" s="1"/>
  <c r="E266" i="3"/>
  <c r="M266" i="3" s="1"/>
  <c r="L265" i="3"/>
  <c r="F225" i="3"/>
  <c r="F217" i="3"/>
  <c r="L293" i="3"/>
  <c r="M293" i="3" s="1"/>
  <c r="G292" i="3"/>
  <c r="K283" i="3"/>
  <c r="E283" i="3"/>
  <c r="M283" i="3" s="1"/>
  <c r="H277" i="3"/>
  <c r="L271" i="3"/>
  <c r="M271" i="3" s="1"/>
  <c r="H207" i="3"/>
  <c r="H206" i="3"/>
  <c r="E215" i="3"/>
  <c r="G235" i="3"/>
  <c r="G199" i="3"/>
  <c r="G198" i="3"/>
  <c r="E199" i="3"/>
  <c r="M199" i="3" s="1"/>
  <c r="L286" i="3"/>
  <c r="M286" i="3" s="1"/>
  <c r="K255" i="3"/>
  <c r="G193" i="3"/>
  <c r="H247" i="3"/>
  <c r="J216" i="3"/>
  <c r="K219" i="3"/>
  <c r="I231" i="3"/>
  <c r="E247" i="3"/>
  <c r="M247" i="3" s="1"/>
  <c r="H218" i="3"/>
  <c r="F187" i="3"/>
  <c r="K279" i="3"/>
  <c r="G243" i="3"/>
  <c r="I233" i="3"/>
  <c r="F268" i="3"/>
  <c r="K259" i="3"/>
  <c r="I279" i="3"/>
  <c r="I236" i="3"/>
  <c r="J187" i="3"/>
  <c r="H40" i="14" s="1"/>
  <c r="J259" i="3"/>
  <c r="H47" i="14" s="1"/>
  <c r="L238" i="3"/>
  <c r="J258" i="3"/>
  <c r="H243" i="3"/>
  <c r="E196" i="3"/>
  <c r="G205" i="3"/>
  <c r="J278" i="3"/>
  <c r="H49" i="14" s="1"/>
  <c r="K291" i="3"/>
  <c r="I50" i="14" s="1"/>
  <c r="J291" i="3"/>
  <c r="H50" i="14" s="1"/>
  <c r="L275" i="3"/>
  <c r="M275" i="3" s="1"/>
  <c r="F239" i="3"/>
  <c r="I227" i="3"/>
  <c r="K274" i="3"/>
  <c r="G278" i="3"/>
  <c r="I204" i="3"/>
  <c r="I258" i="3"/>
  <c r="J274" i="3"/>
  <c r="G239" i="3"/>
  <c r="E204" i="3"/>
  <c r="E274" i="3"/>
  <c r="J273" i="3"/>
  <c r="H48" i="14" s="1"/>
  <c r="G238" i="3"/>
  <c r="F223" i="3"/>
  <c r="K272" i="3"/>
  <c r="F291" i="3"/>
  <c r="K205" i="3"/>
  <c r="J190" i="3"/>
  <c r="H41" i="14" s="1"/>
  <c r="F261" i="3"/>
  <c r="E291" i="3"/>
  <c r="F233" i="3"/>
  <c r="L278" i="3"/>
  <c r="F279" i="3"/>
  <c r="G204" i="3"/>
  <c r="I187" i="3"/>
  <c r="G40" i="14" s="1"/>
  <c r="L239" i="3"/>
  <c r="M239" i="3" s="1"/>
  <c r="L259" i="3"/>
  <c r="E223" i="3"/>
  <c r="G236" i="3"/>
  <c r="G274" i="3"/>
  <c r="F275" i="3"/>
  <c r="G258" i="3"/>
  <c r="I239" i="3"/>
  <c r="J260" i="3"/>
  <c r="L260" i="3"/>
  <c r="M260" i="3" s="1"/>
  <c r="K273" i="3"/>
  <c r="J243" i="3"/>
  <c r="F80" i="14"/>
  <c r="F77" i="14" s="1"/>
  <c r="M386" i="3"/>
  <c r="Q114" i="15"/>
  <c r="H25" i="14"/>
  <c r="H22" i="14" s="1"/>
  <c r="Q28" i="15"/>
  <c r="Q106" i="15"/>
  <c r="G104" i="15"/>
  <c r="Q91" i="15"/>
  <c r="M427" i="3"/>
  <c r="E33" i="14"/>
  <c r="D13" i="16"/>
  <c r="M123" i="3"/>
  <c r="G108" i="15"/>
  <c r="Q110" i="15"/>
  <c r="P109" i="15"/>
  <c r="F109" i="15" s="1"/>
  <c r="M472" i="3"/>
  <c r="F59" i="14"/>
  <c r="G167" i="3"/>
  <c r="M41" i="3"/>
  <c r="L39" i="3"/>
  <c r="M52" i="3"/>
  <c r="M75" i="3"/>
  <c r="E27" i="14"/>
  <c r="M91" i="3"/>
  <c r="E90" i="3"/>
  <c r="E14" i="16"/>
  <c r="O14" i="16" s="1"/>
  <c r="M135" i="3"/>
  <c r="Q19" i="15"/>
  <c r="G19" i="15" s="1"/>
  <c r="N19" i="15" s="1"/>
  <c r="M156" i="3"/>
  <c r="L149" i="3"/>
  <c r="L158" i="3"/>
  <c r="E18" i="16" s="1"/>
  <c r="O18" i="16" s="1"/>
  <c r="M160" i="3"/>
  <c r="M375" i="3"/>
  <c r="L364" i="3"/>
  <c r="G57" i="14"/>
  <c r="I422" i="3"/>
  <c r="H57" i="14"/>
  <c r="H56" i="14" s="1"/>
  <c r="J422" i="3"/>
  <c r="E391" i="3"/>
  <c r="M393" i="3"/>
  <c r="I71" i="14"/>
  <c r="K600" i="3"/>
  <c r="K449" i="3" s="1"/>
  <c r="E44" i="16"/>
  <c r="L506" i="3"/>
  <c r="L70" i="11"/>
  <c r="T70" i="11" s="1"/>
  <c r="M299" i="3"/>
  <c r="J261" i="3"/>
  <c r="G223" i="3"/>
  <c r="E279" i="3"/>
  <c r="H252" i="3"/>
  <c r="G296" i="3"/>
  <c r="E237" i="3"/>
  <c r="M237" i="3" s="1"/>
  <c r="G196" i="3"/>
  <c r="K204" i="3"/>
  <c r="E187" i="3"/>
  <c r="K268" i="3"/>
  <c r="L296" i="3"/>
  <c r="Q61" i="15" s="1"/>
  <c r="G61" i="15" s="1"/>
  <c r="N61" i="15" s="1"/>
  <c r="L274" i="3"/>
  <c r="E259" i="3"/>
  <c r="H187" i="3"/>
  <c r="J227" i="3"/>
  <c r="K196" i="3"/>
  <c r="K275" i="3"/>
  <c r="I51" i="14" s="1"/>
  <c r="H278" i="3"/>
  <c r="H258" i="3"/>
  <c r="G252" i="3"/>
  <c r="E290" i="3"/>
  <c r="E258" i="3"/>
  <c r="I268" i="3"/>
  <c r="F287" i="3"/>
  <c r="H291" i="3"/>
  <c r="E236" i="3"/>
  <c r="K239" i="3"/>
  <c r="K287" i="3"/>
  <c r="I49" i="14" s="1"/>
  <c r="H239" i="3"/>
  <c r="F205" i="3"/>
  <c r="L273" i="3"/>
  <c r="M273" i="3" s="1"/>
  <c r="E296" i="3"/>
  <c r="E243" i="3"/>
  <c r="D22" i="16" s="1"/>
  <c r="L204" i="3"/>
  <c r="H287" i="3"/>
  <c r="J237" i="3"/>
  <c r="H45" i="14" s="1"/>
  <c r="G233" i="3"/>
  <c r="I261" i="3"/>
  <c r="H227" i="3"/>
  <c r="G268" i="3"/>
  <c r="F227" i="3"/>
  <c r="J205" i="3"/>
  <c r="H43" i="14" s="1"/>
  <c r="M256" i="3"/>
  <c r="M255" i="3"/>
  <c r="M192" i="3"/>
  <c r="L95" i="15"/>
  <c r="L101" i="15" s="1"/>
  <c r="L84" i="15" s="1"/>
  <c r="E276" i="3"/>
  <c r="K235" i="3"/>
  <c r="F213" i="3"/>
  <c r="I232" i="3"/>
  <c r="E210" i="3"/>
  <c r="F266" i="3"/>
  <c r="F228" i="3"/>
  <c r="K254" i="3"/>
  <c r="J200" i="3"/>
  <c r="K226" i="3"/>
  <c r="K246" i="3"/>
  <c r="E209" i="3"/>
  <c r="J245" i="3"/>
  <c r="L269" i="3"/>
  <c r="M269" i="3" s="1"/>
  <c r="K211" i="3"/>
  <c r="J242" i="3"/>
  <c r="I285" i="3"/>
  <c r="I271" i="3"/>
  <c r="L285" i="3"/>
  <c r="M285" i="3" s="1"/>
  <c r="K292" i="3"/>
  <c r="I244" i="3"/>
  <c r="K210" i="3"/>
  <c r="I194" i="3"/>
  <c r="K244" i="3"/>
  <c r="K220" i="3"/>
  <c r="F211" i="3"/>
  <c r="K282" i="3"/>
  <c r="F191" i="3"/>
  <c r="E245" i="3"/>
  <c r="M245" i="3" s="1"/>
  <c r="F245" i="3"/>
  <c r="K293" i="3"/>
  <c r="G218" i="3"/>
  <c r="E292" i="3"/>
  <c r="M292" i="3" s="1"/>
  <c r="G212" i="3"/>
  <c r="H189" i="3"/>
  <c r="G246" i="3"/>
  <c r="H253" i="3"/>
  <c r="F277" i="3"/>
  <c r="J293" i="3"/>
  <c r="G191" i="3"/>
  <c r="G280" i="3"/>
  <c r="K271" i="3"/>
  <c r="J210" i="3"/>
  <c r="K193" i="3"/>
  <c r="K247" i="3"/>
  <c r="L251" i="3"/>
  <c r="H198" i="3"/>
  <c r="H195" i="3"/>
  <c r="G284" i="3"/>
  <c r="I71" i="15"/>
  <c r="I77" i="15" s="1"/>
  <c r="D53" i="16"/>
  <c r="E415" i="3"/>
  <c r="N35" i="15"/>
  <c r="M112" i="3"/>
  <c r="M68" i="3"/>
  <c r="E50" i="16"/>
  <c r="O50" i="16" s="1"/>
  <c r="M527" i="3"/>
  <c r="Q123" i="15"/>
  <c r="O55" i="16"/>
  <c r="E53" i="16"/>
  <c r="O53" i="16" s="1"/>
  <c r="E28" i="3"/>
  <c r="M29" i="3"/>
  <c r="L33" i="3"/>
  <c r="M33" i="3" s="1"/>
  <c r="M120" i="3"/>
  <c r="E119" i="3"/>
  <c r="P36" i="15"/>
  <c r="F36" i="15" s="1"/>
  <c r="M134" i="3"/>
  <c r="P26" i="15"/>
  <c r="I37" i="14"/>
  <c r="F37" i="14" s="1"/>
  <c r="L140" i="3"/>
  <c r="E16" i="16" s="1"/>
  <c r="O16" i="16" s="1"/>
  <c r="Q42" i="15"/>
  <c r="M142" i="3"/>
  <c r="Q43" i="15"/>
  <c r="G43" i="15" s="1"/>
  <c r="N43" i="15" s="1"/>
  <c r="E140" i="3"/>
  <c r="M147" i="3"/>
  <c r="M151" i="3"/>
  <c r="E149" i="3"/>
  <c r="E158" i="3"/>
  <c r="M159" i="3"/>
  <c r="P42" i="15"/>
  <c r="L30" i="11"/>
  <c r="T31" i="11"/>
  <c r="H68" i="14"/>
  <c r="F69" i="14"/>
  <c r="D33" i="17"/>
  <c r="N93" i="15"/>
  <c r="J99" i="15"/>
  <c r="J101" i="15" s="1"/>
  <c r="I81" i="15"/>
  <c r="N36" i="15"/>
  <c r="M519" i="3"/>
  <c r="D49" i="16"/>
  <c r="P105" i="15"/>
  <c r="E22" i="3"/>
  <c r="M26" i="3"/>
  <c r="E110" i="3"/>
  <c r="P22" i="15"/>
  <c r="F22" i="15" s="1"/>
  <c r="M115" i="3"/>
  <c r="P40" i="15"/>
  <c r="F40" i="15" s="1"/>
  <c r="G95" i="14"/>
  <c r="I600" i="3"/>
  <c r="I449" i="3" s="1"/>
  <c r="U145" i="11"/>
  <c r="J28" i="11"/>
  <c r="P148" i="11"/>
  <c r="T36" i="11"/>
  <c r="L33" i="11"/>
  <c r="T33" i="11" s="1"/>
  <c r="T49" i="11"/>
  <c r="L48" i="11"/>
  <c r="T48" i="11" s="1"/>
  <c r="T107" i="11"/>
  <c r="L104" i="11"/>
  <c r="T104" i="11" s="1"/>
  <c r="S122" i="11"/>
  <c r="J167" i="3"/>
  <c r="J448" i="3" s="1"/>
  <c r="M95" i="3"/>
  <c r="E94" i="3"/>
  <c r="M94" i="3" s="1"/>
  <c r="M109" i="3"/>
  <c r="P16" i="15"/>
  <c r="F16" i="15" s="1"/>
  <c r="P38" i="15"/>
  <c r="F38" i="15" s="1"/>
  <c r="M122" i="3"/>
  <c r="M137" i="3"/>
  <c r="P45" i="15"/>
  <c r="F45" i="15" s="1"/>
  <c r="L484" i="3"/>
  <c r="M485" i="3"/>
  <c r="E41" i="16"/>
  <c r="E72" i="14"/>
  <c r="M505" i="3"/>
  <c r="M507" i="3"/>
  <c r="D44" i="16"/>
  <c r="D43" i="16" s="1"/>
  <c r="P108" i="15"/>
  <c r="E506" i="3"/>
  <c r="D67" i="16"/>
  <c r="E569" i="3"/>
  <c r="M569" i="3" s="1"/>
  <c r="M582" i="3"/>
  <c r="E65" i="16"/>
  <c r="L589" i="3"/>
  <c r="T77" i="11"/>
  <c r="L76" i="11"/>
  <c r="T76" i="11" s="1"/>
  <c r="T123" i="11"/>
  <c r="L122" i="11"/>
  <c r="T122" i="11" s="1"/>
  <c r="L86" i="11"/>
  <c r="T86" i="11" s="1"/>
  <c r="T87" i="11"/>
  <c r="E24" i="17"/>
  <c r="E33" i="17" s="1"/>
  <c r="E35" i="17" s="1"/>
  <c r="E5" i="17" s="1"/>
  <c r="I26" i="17"/>
  <c r="F33" i="17"/>
  <c r="F35" i="17" s="1"/>
  <c r="F5" i="17" s="1"/>
  <c r="J9" i="17"/>
  <c r="L672" i="3"/>
  <c r="M712" i="3"/>
  <c r="L706" i="3"/>
  <c r="L261" i="3" s="1"/>
  <c r="L713" i="3"/>
  <c r="L268" i="3" s="1"/>
  <c r="M714" i="3"/>
  <c r="K167" i="3"/>
  <c r="K448" i="3" s="1"/>
  <c r="I23" i="14"/>
  <c r="L28" i="3"/>
  <c r="M30" i="3"/>
  <c r="F167" i="3"/>
  <c r="M82" i="3"/>
  <c r="P20" i="15"/>
  <c r="F20" i="15" s="1"/>
  <c r="M118" i="3"/>
  <c r="N38" i="15"/>
  <c r="F422" i="3"/>
  <c r="L391" i="3"/>
  <c r="M392" i="3"/>
  <c r="M404" i="3"/>
  <c r="L402" i="3"/>
  <c r="M402" i="3" s="1"/>
  <c r="Q94" i="15"/>
  <c r="G94" i="15" s="1"/>
  <c r="N94" i="15" s="1"/>
  <c r="M478" i="3"/>
  <c r="J600" i="3"/>
  <c r="J449" i="3" s="1"/>
  <c r="E539" i="3"/>
  <c r="M540" i="3"/>
  <c r="E547" i="3"/>
  <c r="P116" i="15"/>
  <c r="O148" i="11"/>
  <c r="S33" i="11"/>
  <c r="S139" i="11"/>
  <c r="M661" i="3"/>
  <c r="E650" i="3"/>
  <c r="H422" i="3"/>
  <c r="H448" i="3" s="1"/>
  <c r="M148" i="11"/>
  <c r="S111" i="11"/>
  <c r="M694" i="3"/>
  <c r="L688" i="3"/>
  <c r="M162" i="3"/>
  <c r="M396" i="3"/>
  <c r="S104" i="11"/>
  <c r="G750" i="3"/>
  <c r="G304" i="3" s="1"/>
  <c r="E713" i="3"/>
  <c r="M210" i="3" l="1"/>
  <c r="D50" i="16"/>
  <c r="H86" i="14"/>
  <c r="M594" i="3"/>
  <c r="H66" i="14"/>
  <c r="M741" i="3"/>
  <c r="P95" i="15"/>
  <c r="M412" i="3"/>
  <c r="F63" i="14"/>
  <c r="F86" i="14"/>
  <c r="M252" i="3"/>
  <c r="G49" i="14"/>
  <c r="F49" i="14" s="1"/>
  <c r="G48" i="14"/>
  <c r="F51" i="14"/>
  <c r="M736" i="3"/>
  <c r="F93" i="15"/>
  <c r="F95" i="15" s="1"/>
  <c r="G43" i="14"/>
  <c r="F41" i="14"/>
  <c r="M724" i="3"/>
  <c r="Q89" i="15"/>
  <c r="G87" i="15"/>
  <c r="I43" i="14"/>
  <c r="P114" i="15"/>
  <c r="F113" i="15"/>
  <c r="F114" i="15" s="1"/>
  <c r="E29" i="16"/>
  <c r="O29" i="16" s="1"/>
  <c r="Q58" i="15"/>
  <c r="G58" i="15" s="1"/>
  <c r="N58" i="15" s="1"/>
  <c r="F55" i="14"/>
  <c r="I196" i="3"/>
  <c r="G42" i="14" s="1"/>
  <c r="G39" i="14" s="1"/>
  <c r="J77" i="15"/>
  <c r="E28" i="16"/>
  <c r="O28" i="16" s="1"/>
  <c r="Q51" i="15"/>
  <c r="G51" i="15" s="1"/>
  <c r="M276" i="3"/>
  <c r="M267" i="3"/>
  <c r="J48" i="15"/>
  <c r="M106" i="3"/>
  <c r="I120" i="15"/>
  <c r="I84" i="15" s="1"/>
  <c r="M678" i="3"/>
  <c r="N130" i="15"/>
  <c r="N132" i="15" s="1"/>
  <c r="G132" i="15"/>
  <c r="M47" i="3"/>
  <c r="M632" i="3"/>
  <c r="E59" i="14"/>
  <c r="F58" i="14"/>
  <c r="N112" i="15"/>
  <c r="N114" i="15" s="1"/>
  <c r="G114" i="15"/>
  <c r="P89" i="15"/>
  <c r="F88" i="15"/>
  <c r="F89" i="15" s="1"/>
  <c r="Q132" i="15"/>
  <c r="M209" i="3"/>
  <c r="M189" i="3"/>
  <c r="M635" i="3"/>
  <c r="L190" i="3"/>
  <c r="M231" i="3"/>
  <c r="M215" i="3"/>
  <c r="Q99" i="15"/>
  <c r="M668" i="3"/>
  <c r="L223" i="3"/>
  <c r="Q53" i="15" s="1"/>
  <c r="G53" i="15" s="1"/>
  <c r="N53" i="15" s="1"/>
  <c r="D15" i="16"/>
  <c r="E36" i="14"/>
  <c r="L77" i="15"/>
  <c r="L83" i="15" s="1"/>
  <c r="L140" i="15" s="1"/>
  <c r="L137" i="15" s="1"/>
  <c r="M234" i="3"/>
  <c r="D38" i="16"/>
  <c r="E76" i="14"/>
  <c r="M464" i="3"/>
  <c r="S148" i="11"/>
  <c r="D64" i="16"/>
  <c r="F124" i="15"/>
  <c r="F127" i="15" s="1"/>
  <c r="F30" i="14"/>
  <c r="I25" i="14"/>
  <c r="I22" i="14" s="1"/>
  <c r="J120" i="15"/>
  <c r="J84" i="15" s="1"/>
  <c r="I24" i="17"/>
  <c r="F50" i="14"/>
  <c r="E39" i="16"/>
  <c r="O39" i="16" s="1"/>
  <c r="M471" i="3"/>
  <c r="M732" i="3"/>
  <c r="E287" i="3"/>
  <c r="E49" i="14" s="1"/>
  <c r="F32" i="14"/>
  <c r="G25" i="14"/>
  <c r="G22" i="14" s="1"/>
  <c r="I48" i="15"/>
  <c r="I83" i="15" s="1"/>
  <c r="E24" i="16"/>
  <c r="O24" i="16" s="1"/>
  <c r="M261" i="3"/>
  <c r="M290" i="3"/>
  <c r="D29" i="16"/>
  <c r="P58" i="15"/>
  <c r="P53" i="15"/>
  <c r="F53" i="15" s="1"/>
  <c r="M259" i="3"/>
  <c r="E47" i="14"/>
  <c r="G117" i="15"/>
  <c r="Q118" i="15"/>
  <c r="Q120" i="15" s="1"/>
  <c r="E68" i="14"/>
  <c r="N97" i="15"/>
  <c r="N99" i="15" s="1"/>
  <c r="G99" i="15"/>
  <c r="L641" i="3"/>
  <c r="M642" i="3"/>
  <c r="L197" i="3"/>
  <c r="M197" i="3" s="1"/>
  <c r="M713" i="3"/>
  <c r="F116" i="15"/>
  <c r="F118" i="15" s="1"/>
  <c r="P118" i="15"/>
  <c r="F448" i="3"/>
  <c r="I33" i="17"/>
  <c r="I35" i="17" s="1"/>
  <c r="I5" i="17" s="1"/>
  <c r="M706" i="3"/>
  <c r="M158" i="3"/>
  <c r="D18" i="16"/>
  <c r="E37" i="14"/>
  <c r="M140" i="3"/>
  <c r="D16" i="16"/>
  <c r="G123" i="15"/>
  <c r="Q127" i="15"/>
  <c r="I45" i="14"/>
  <c r="I44" i="14"/>
  <c r="I42" i="14"/>
  <c r="I39" i="14" s="1"/>
  <c r="P54" i="15"/>
  <c r="F54" i="15" s="1"/>
  <c r="M187" i="3"/>
  <c r="E40" i="14"/>
  <c r="O44" i="16"/>
  <c r="E43" i="16"/>
  <c r="O43" i="16" s="1"/>
  <c r="E57" i="14"/>
  <c r="M391" i="3"/>
  <c r="G56" i="14"/>
  <c r="F57" i="14"/>
  <c r="G91" i="15"/>
  <c r="Q95" i="15"/>
  <c r="Q69" i="15"/>
  <c r="D30" i="16"/>
  <c r="P74" i="15"/>
  <c r="F74" i="15" s="1"/>
  <c r="M291" i="3"/>
  <c r="E50" i="14"/>
  <c r="E42" i="14"/>
  <c r="P55" i="15"/>
  <c r="F55" i="15" s="1"/>
  <c r="I46" i="14"/>
  <c r="I47" i="14"/>
  <c r="F47" i="14" s="1"/>
  <c r="M589" i="3"/>
  <c r="M474" i="3"/>
  <c r="E80" i="14"/>
  <c r="E77" i="14" s="1"/>
  <c r="E432" i="3"/>
  <c r="P80" i="15" s="1"/>
  <c r="F80" i="15" s="1"/>
  <c r="E12" i="16"/>
  <c r="O12" i="16" s="1"/>
  <c r="Q14" i="15"/>
  <c r="G14" i="15" s="1"/>
  <c r="N14" i="15" s="1"/>
  <c r="M39" i="3"/>
  <c r="E422" i="3"/>
  <c r="F23" i="14"/>
  <c r="F132" i="15"/>
  <c r="O41" i="16"/>
  <c r="E40" i="16"/>
  <c r="O40" i="16" s="1"/>
  <c r="F95" i="14"/>
  <c r="G66" i="14"/>
  <c r="G42" i="15"/>
  <c r="N108" i="15"/>
  <c r="N110" i="15" s="1"/>
  <c r="G110" i="15"/>
  <c r="M688" i="3"/>
  <c r="L243" i="3"/>
  <c r="Q66" i="15" s="1"/>
  <c r="G66" i="15" s="1"/>
  <c r="N66" i="15" s="1"/>
  <c r="E88" i="14"/>
  <c r="M547" i="3"/>
  <c r="M672" i="3"/>
  <c r="L227" i="3"/>
  <c r="O65" i="16"/>
  <c r="E64" i="16"/>
  <c r="O64" i="16" s="1"/>
  <c r="E87" i="14"/>
  <c r="M506" i="3"/>
  <c r="M484" i="3"/>
  <c r="L600" i="3"/>
  <c r="M22" i="3"/>
  <c r="E167" i="3"/>
  <c r="E23" i="14"/>
  <c r="P13" i="15"/>
  <c r="J33" i="17"/>
  <c r="J35" i="17" s="1"/>
  <c r="J5" i="17" s="1"/>
  <c r="D35" i="17"/>
  <c r="D5" i="17" s="1"/>
  <c r="T30" i="11"/>
  <c r="L148" i="11"/>
  <c r="D17" i="16"/>
  <c r="P44" i="15"/>
  <c r="F44" i="15" s="1"/>
  <c r="M149" i="3"/>
  <c r="P35" i="15"/>
  <c r="F35" i="15" s="1"/>
  <c r="M119" i="3"/>
  <c r="M28" i="3"/>
  <c r="M236" i="3"/>
  <c r="E44" i="14"/>
  <c r="D23" i="16"/>
  <c r="D21" i="16" s="1"/>
  <c r="P65" i="15"/>
  <c r="E45" i="14"/>
  <c r="H44" i="14"/>
  <c r="L422" i="3"/>
  <c r="M364" i="3"/>
  <c r="E17" i="16"/>
  <c r="O17" i="16" s="1"/>
  <c r="Q44" i="15"/>
  <c r="G44" i="15" s="1"/>
  <c r="N44" i="15" s="1"/>
  <c r="G448" i="3"/>
  <c r="E600" i="3"/>
  <c r="G106" i="15"/>
  <c r="N104" i="15"/>
  <c r="N106" i="15" s="1"/>
  <c r="Q59" i="15"/>
  <c r="E26" i="16"/>
  <c r="O26" i="16" s="1"/>
  <c r="M274" i="3"/>
  <c r="G46" i="14"/>
  <c r="G44" i="14"/>
  <c r="H39" i="14"/>
  <c r="P52" i="15"/>
  <c r="F52" i="15" s="1"/>
  <c r="M217" i="3"/>
  <c r="E58" i="14"/>
  <c r="I448" i="3"/>
  <c r="P132" i="15"/>
  <c r="D52" i="16"/>
  <c r="E85" i="14"/>
  <c r="P97" i="15"/>
  <c r="M539" i="3"/>
  <c r="M110" i="3"/>
  <c r="E32" i="14"/>
  <c r="F105" i="15"/>
  <c r="F106" i="15" s="1"/>
  <c r="P106" i="15"/>
  <c r="E52" i="14"/>
  <c r="P61" i="15"/>
  <c r="F61" i="15" s="1"/>
  <c r="M296" i="3"/>
  <c r="M238" i="3"/>
  <c r="E23" i="16"/>
  <c r="O23" i="16" s="1"/>
  <c r="M650" i="3"/>
  <c r="E205" i="3"/>
  <c r="E750" i="3"/>
  <c r="L167" i="3"/>
  <c r="E25" i="16"/>
  <c r="O25" i="16" s="1"/>
  <c r="Q73" i="15"/>
  <c r="P110" i="15"/>
  <c r="F108" i="15"/>
  <c r="F110" i="15" s="1"/>
  <c r="Q13" i="15"/>
  <c r="F42" i="15"/>
  <c r="P28" i="15"/>
  <c r="F26" i="15"/>
  <c r="F28" i="15" s="1"/>
  <c r="E62" i="14"/>
  <c r="M415" i="3"/>
  <c r="P66" i="15"/>
  <c r="F66" i="15" s="1"/>
  <c r="E46" i="14"/>
  <c r="M258" i="3"/>
  <c r="P69" i="15"/>
  <c r="I48" i="14"/>
  <c r="D27" i="16"/>
  <c r="P59" i="15"/>
  <c r="F59" i="15" s="1"/>
  <c r="M279" i="3"/>
  <c r="F71" i="14"/>
  <c r="F68" i="14" s="1"/>
  <c r="F66" i="14" s="1"/>
  <c r="I68" i="14"/>
  <c r="I66" i="14" s="1"/>
  <c r="D12" i="16"/>
  <c r="P14" i="15"/>
  <c r="F14" i="15" s="1"/>
  <c r="E30" i="14"/>
  <c r="M90" i="3"/>
  <c r="F40" i="14"/>
  <c r="E268" i="3"/>
  <c r="M204" i="3"/>
  <c r="H46" i="14"/>
  <c r="G45" i="14"/>
  <c r="M251" i="3"/>
  <c r="M265" i="3"/>
  <c r="M297" i="3"/>
  <c r="E53" i="14"/>
  <c r="M250" i="3"/>
  <c r="Q74" i="15"/>
  <c r="G74" i="15" s="1"/>
  <c r="N74" i="15" s="1"/>
  <c r="M277" i="3"/>
  <c r="M74" i="3"/>
  <c r="M278" i="3"/>
  <c r="F48" i="14" l="1"/>
  <c r="Q101" i="15"/>
  <c r="J83" i="15"/>
  <c r="J141" i="15" s="1"/>
  <c r="J138" i="15" s="1"/>
  <c r="F43" i="14"/>
  <c r="F56" i="14"/>
  <c r="G89" i="15"/>
  <c r="N87" i="15"/>
  <c r="N89" i="15" s="1"/>
  <c r="L133" i="15"/>
  <c r="I133" i="15"/>
  <c r="I141" i="15"/>
  <c r="I138" i="15" s="1"/>
  <c r="I82" i="15"/>
  <c r="E25" i="14"/>
  <c r="E22" i="14" s="1"/>
  <c r="E86" i="14"/>
  <c r="F45" i="14"/>
  <c r="E39" i="14"/>
  <c r="M190" i="3"/>
  <c r="Q54" i="15"/>
  <c r="G54" i="15" s="1"/>
  <c r="N54" i="15" s="1"/>
  <c r="F42" i="14"/>
  <c r="F39" i="14" s="1"/>
  <c r="M243" i="3"/>
  <c r="M223" i="3"/>
  <c r="L82" i="15"/>
  <c r="L141" i="15"/>
  <c r="L138" i="15" s="1"/>
  <c r="F46" i="14"/>
  <c r="Q46" i="15"/>
  <c r="I140" i="15"/>
  <c r="I137" i="15" s="1"/>
  <c r="F25" i="14"/>
  <c r="F22" i="14" s="1"/>
  <c r="H38" i="14"/>
  <c r="H64" i="14" s="1"/>
  <c r="H65" i="14" s="1"/>
  <c r="M287" i="3"/>
  <c r="D28" i="16"/>
  <c r="P60" i="15"/>
  <c r="F60" i="15" s="1"/>
  <c r="G13" i="15"/>
  <c r="Q23" i="15"/>
  <c r="E31" i="16"/>
  <c r="O31" i="16" s="1"/>
  <c r="Q79" i="15"/>
  <c r="D8" i="16"/>
  <c r="G38" i="14"/>
  <c r="G64" i="14" s="1"/>
  <c r="P46" i="15"/>
  <c r="T21" i="11"/>
  <c r="T18" i="11"/>
  <c r="T15" i="11"/>
  <c r="T28" i="11"/>
  <c r="T25" i="11"/>
  <c r="T154" i="11"/>
  <c r="T150" i="11"/>
  <c r="T148" i="11"/>
  <c r="T17" i="11"/>
  <c r="T13" i="11"/>
  <c r="T24" i="11"/>
  <c r="T20" i="11"/>
  <c r="T16" i="11"/>
  <c r="T12" i="11"/>
  <c r="T23" i="11"/>
  <c r="T149" i="11"/>
  <c r="T29" i="11"/>
  <c r="T153" i="11"/>
  <c r="T152" i="11"/>
  <c r="T151" i="11"/>
  <c r="T14" i="11"/>
  <c r="T22" i="11"/>
  <c r="T27" i="11"/>
  <c r="T19" i="11"/>
  <c r="T26" i="11"/>
  <c r="G73" i="15"/>
  <c r="Q75" i="15"/>
  <c r="E43" i="14"/>
  <c r="M205" i="3"/>
  <c r="P51" i="15"/>
  <c r="F120" i="15"/>
  <c r="P99" i="15"/>
  <c r="P101" i="15" s="1"/>
  <c r="F97" i="15"/>
  <c r="F99" i="15" s="1"/>
  <c r="F101" i="15" s="1"/>
  <c r="F44" i="14"/>
  <c r="G59" i="15"/>
  <c r="Q63" i="15"/>
  <c r="D36" i="16"/>
  <c r="E449" i="3"/>
  <c r="Q71" i="15"/>
  <c r="G69" i="15"/>
  <c r="I38" i="14"/>
  <c r="I64" i="14" s="1"/>
  <c r="P71" i="15"/>
  <c r="F69" i="15"/>
  <c r="F71" i="15" s="1"/>
  <c r="Q65" i="15"/>
  <c r="M227" i="3"/>
  <c r="E22" i="16"/>
  <c r="Q84" i="15"/>
  <c r="G127" i="15"/>
  <c r="N123" i="15"/>
  <c r="N127" i="15" s="1"/>
  <c r="N117" i="15"/>
  <c r="N118" i="15" s="1"/>
  <c r="G118" i="15"/>
  <c r="G120" i="15" s="1"/>
  <c r="M268" i="3"/>
  <c r="D25" i="16"/>
  <c r="E48" i="14"/>
  <c r="P73" i="15"/>
  <c r="F46" i="15"/>
  <c r="E8" i="16"/>
  <c r="N120" i="15"/>
  <c r="G46" i="15"/>
  <c r="N42" i="15"/>
  <c r="N46" i="15" s="1"/>
  <c r="N91" i="15"/>
  <c r="N95" i="15" s="1"/>
  <c r="G95" i="15"/>
  <c r="E56" i="14"/>
  <c r="E66" i="14"/>
  <c r="P67" i="15"/>
  <c r="F65" i="15"/>
  <c r="F67" i="15" s="1"/>
  <c r="E304" i="3"/>
  <c r="D19" i="16" s="1"/>
  <c r="P120" i="15"/>
  <c r="F13" i="15"/>
  <c r="F23" i="15" s="1"/>
  <c r="P23" i="15"/>
  <c r="E36" i="16"/>
  <c r="O36" i="16" s="1"/>
  <c r="L449" i="3"/>
  <c r="M422" i="3"/>
  <c r="P79" i="15"/>
  <c r="D31" i="16"/>
  <c r="M641" i="3"/>
  <c r="L750" i="3"/>
  <c r="L304" i="3" s="1"/>
  <c r="E19" i="16" s="1"/>
  <c r="O19" i="16" s="1"/>
  <c r="L196" i="3"/>
  <c r="F58" i="15"/>
  <c r="N51" i="15"/>
  <c r="J140" i="15" l="1"/>
  <c r="J137" i="15" s="1"/>
  <c r="J133" i="15"/>
  <c r="J82" i="15"/>
  <c r="F48" i="15"/>
  <c r="N101" i="15"/>
  <c r="N84" i="15" s="1"/>
  <c r="P63" i="15"/>
  <c r="G101" i="15"/>
  <c r="G84" i="15" s="1"/>
  <c r="E38" i="14"/>
  <c r="E64" i="14" s="1"/>
  <c r="H105" i="14"/>
  <c r="F63" i="15"/>
  <c r="Q48" i="15"/>
  <c r="M753" i="3"/>
  <c r="M626" i="3"/>
  <c r="M619" i="3"/>
  <c r="M622" i="3"/>
  <c r="M615" i="3"/>
  <c r="M624" i="3"/>
  <c r="M620" i="3"/>
  <c r="M751" i="3"/>
  <c r="M631" i="3"/>
  <c r="M614" i="3"/>
  <c r="M621" i="3"/>
  <c r="M629" i="3"/>
  <c r="M627" i="3"/>
  <c r="M752" i="3"/>
  <c r="L448" i="3"/>
  <c r="L601" i="3" s="1"/>
  <c r="L450" i="3" s="1"/>
  <c r="M750" i="3"/>
  <c r="M754" i="3"/>
  <c r="M628" i="3"/>
  <c r="G105" i="14"/>
  <c r="G65" i="14"/>
  <c r="P75" i="15"/>
  <c r="F73" i="15"/>
  <c r="F75" i="15" s="1"/>
  <c r="G79" i="15"/>
  <c r="Q81" i="15"/>
  <c r="F79" i="15"/>
  <c r="F81" i="15" s="1"/>
  <c r="P81" i="15"/>
  <c r="P48" i="15"/>
  <c r="M625" i="3"/>
  <c r="M616" i="3"/>
  <c r="M630" i="3"/>
  <c r="M618" i="3"/>
  <c r="M617" i="3"/>
  <c r="M623" i="3"/>
  <c r="O8" i="16"/>
  <c r="O34" i="16" s="1"/>
  <c r="O35" i="16" s="1"/>
  <c r="E34" i="16"/>
  <c r="E35" i="16" s="1"/>
  <c r="F84" i="15"/>
  <c r="F38" i="14"/>
  <c r="F64" i="14" s="1"/>
  <c r="E448" i="3"/>
  <c r="E601" i="3" s="1"/>
  <c r="Q55" i="15"/>
  <c r="M196" i="3"/>
  <c r="G65" i="15"/>
  <c r="Q67" i="15"/>
  <c r="N69" i="15"/>
  <c r="N71" i="15" s="1"/>
  <c r="G71" i="15"/>
  <c r="P56" i="15"/>
  <c r="F51" i="15"/>
  <c r="F56" i="15" s="1"/>
  <c r="G75" i="15"/>
  <c r="N73" i="15"/>
  <c r="N75" i="15" s="1"/>
  <c r="N13" i="15"/>
  <c r="N23" i="15" s="1"/>
  <c r="N48" i="15" s="1"/>
  <c r="G23" i="15"/>
  <c r="G48" i="15" s="1"/>
  <c r="O22" i="16"/>
  <c r="E21" i="16"/>
  <c r="O21" i="16" s="1"/>
  <c r="P84" i="15"/>
  <c r="D34" i="16"/>
  <c r="D35" i="16" s="1"/>
  <c r="I65" i="14"/>
  <c r="I105" i="14"/>
  <c r="N59" i="15"/>
  <c r="N63" i="15" s="1"/>
  <c r="G63" i="15"/>
  <c r="F77" i="15" l="1"/>
  <c r="F83" i="15" s="1"/>
  <c r="F82" i="15" s="1"/>
  <c r="P77" i="15"/>
  <c r="P83" i="15"/>
  <c r="P133" i="15" s="1"/>
  <c r="F140" i="15"/>
  <c r="F137" i="15" s="1"/>
  <c r="G67" i="15"/>
  <c r="N65" i="15"/>
  <c r="N67" i="15" s="1"/>
  <c r="F65" i="14"/>
  <c r="F105" i="14"/>
  <c r="G55" i="15"/>
  <c r="Q56" i="15"/>
  <c r="Q77" i="15" s="1"/>
  <c r="Q83" i="15" s="1"/>
  <c r="E65" i="14"/>
  <c r="E105" i="14"/>
  <c r="D601" i="3"/>
  <c r="E450" i="3"/>
  <c r="D450" i="3" s="1"/>
  <c r="G81" i="15"/>
  <c r="N79" i="15"/>
  <c r="N81" i="15" s="1"/>
  <c r="F141" i="15" l="1"/>
  <c r="F138" i="15" s="1"/>
  <c r="F133" i="15"/>
  <c r="P140" i="15"/>
  <c r="P137" i="15" s="1"/>
  <c r="P141" i="15"/>
  <c r="P138" i="15" s="1"/>
  <c r="P82" i="15"/>
  <c r="N55" i="15"/>
  <c r="N56" i="15" s="1"/>
  <c r="N77" i="15" s="1"/>
  <c r="N83" i="15" s="1"/>
  <c r="G56" i="15"/>
  <c r="G77" i="15" s="1"/>
  <c r="G83" i="15" s="1"/>
  <c r="B105" i="14"/>
  <c r="B65" i="14"/>
  <c r="Q133" i="15"/>
  <c r="Q140" i="15"/>
  <c r="Q137" i="15" s="1"/>
  <c r="Q141" i="15"/>
  <c r="Q138" i="15" s="1"/>
  <c r="Q82" i="15"/>
  <c r="N82" i="15" l="1"/>
  <c r="N140" i="15"/>
  <c r="N137" i="15" s="1"/>
  <c r="N141" i="15"/>
  <c r="N138" i="15" s="1"/>
  <c r="N133" i="15"/>
  <c r="G133" i="15"/>
  <c r="G141" i="15"/>
  <c r="G138" i="15" s="1"/>
  <c r="G82" i="15"/>
  <c r="G140" i="15"/>
  <c r="G137" i="15" s="1"/>
  <c r="B82" i="15" l="1"/>
  <c r="B133" i="15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2025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6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5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6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94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4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92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2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<sst xmlns="http://schemas.openxmlformats.org/spreadsheetml/2006/main" count="3061" uniqueCount="2193">
  <si>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</si>
  <si>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</si>
  <si>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</si>
  <si>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</si>
  <si>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</si>
  <si>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</si>
  <si>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</si>
  <si>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</si>
  <si>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</si>
  <si>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</si>
  <si>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</si>
  <si>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</si>
  <si>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</si>
  <si>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</si>
  <si>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</si>
  <si>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</si>
  <si>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</si>
  <si>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</si>
  <si>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</si>
  <si>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</si>
  <si>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</si>
  <si>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</si>
  <si>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</si>
  <si>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</si>
  <si>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</si>
  <si>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</si>
  <si>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</si>
  <si>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</si>
  <si>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</si>
  <si>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</si>
  <si>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</si>
  <si>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</si>
  <si>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</si>
  <si>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</si>
  <si>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</si>
  <si>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</si>
  <si>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</si>
  <si>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</si>
  <si>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</si>
  <si>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</si>
  <si>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</si>
  <si>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</si>
  <si>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</si>
  <si>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</si>
  <si>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</si>
  <si>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</si>
  <si>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</si>
  <si>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</si>
  <si>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</si>
  <si>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</si>
  <si>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</si>
  <si>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</si>
  <si>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</si>
  <si>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</si>
  <si>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</si>
  <si>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</si>
  <si>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</si>
  <si>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</si>
  <si>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</si>
  <si>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</si>
  <si>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</si>
  <si>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</si>
  <si>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</si>
  <si>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</si>
  <si>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</si>
  <si>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</si>
  <si>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</si>
  <si>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</si>
  <si>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</si>
  <si>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</si>
  <si>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</si>
  <si>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</si>
  <si>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</si>
  <si>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</si>
  <si>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</si>
  <si>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</si>
  <si>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</si>
  <si>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</si>
  <si>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</si>
  <si>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</si>
  <si>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</si>
  <si>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</si>
  <si>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</si>
  <si>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</si>
  <si>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</si>
  <si>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</si>
  <si>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</si>
  <si>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</si>
  <si>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</si>
  <si>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</si>
  <si>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</si>
  <si>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</si>
  <si>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</si>
  <si>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</si>
  <si>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</si>
  <si>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</si>
  <si>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</si>
  <si>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</si>
  <si>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</si>
  <si>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</si>
  <si>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</si>
  <si>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</si>
  <si>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</si>
  <si>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</si>
  <si>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</si>
  <si>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</si>
  <si>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</si>
  <si>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</si>
  <si>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</si>
  <si>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</si>
  <si>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</si>
  <si>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</si>
  <si>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</si>
  <si>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</si>
  <si>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</si>
  <si>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</si>
  <si>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</si>
  <si>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</si>
  <si>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</si>
  <si>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</si>
  <si>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</si>
  <si>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</si>
  <si>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</si>
  <si>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</si>
  <si>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</si>
  <si>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</si>
  <si>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</si>
  <si>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</si>
  <si>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</si>
  <si>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</si>
  <si>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</si>
  <si>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</si>
  <si>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</si>
  <si>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</si>
  <si>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</si>
  <si>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</si>
  <si>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</si>
  <si>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</si>
  <si>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</si>
  <si>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</si>
  <si>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</si>
  <si>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</si>
  <si>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</si>
  <si>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</si>
  <si>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</si>
  <si>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</si>
  <si>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</si>
  <si>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</si>
  <si>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</si>
  <si>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</si>
  <si>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</si>
  <si>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</si>
  <si>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</si>
  <si>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</si>
  <si>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</si>
  <si>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</si>
  <si>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</si>
  <si>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</si>
  <si>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</si>
  <si>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</si>
  <si>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</si>
  <si>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</si>
  <si>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</si>
  <si>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</si>
  <si>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</si>
  <si>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</si>
  <si>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</si>
  <si>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</si>
  <si>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</si>
  <si>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</si>
  <si>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</si>
  <si>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</si>
  <si>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</si>
  <si>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</si>
  <si>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</si>
  <si>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</si>
  <si>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</si>
  <si>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</si>
  <si>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</si>
  <si>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</si>
  <si>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</si>
  <si>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</si>
  <si>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</si>
  <si>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</si>
  <si>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</si>
  <si>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</si>
  <si>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</si>
  <si>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</si>
  <si>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</si>
  <si>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</si>
  <si>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</si>
  <si>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</si>
  <si>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</si>
  <si>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</si>
  <si>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</si>
  <si>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</si>
  <si>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</si>
  <si>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</si>
  <si>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</si>
  <si>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</si>
  <si>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</si>
  <si>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</si>
  <si>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</si>
  <si>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</si>
  <si>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</si>
  <si>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</si>
  <si>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</si>
  <si>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</si>
  <si>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</si>
  <si>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</si>
  <si>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</si>
  <si>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</si>
  <si>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</si>
  <si>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</si>
  <si>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</si>
  <si>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</si>
  <si>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</si>
  <si>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</si>
  <si>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</si>
  <si>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</si>
  <si>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</si>
  <si>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</si>
  <si>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</si>
  <si>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</si>
  <si>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</si>
  <si>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</si>
  <si>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</si>
  <si>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</si>
  <si>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</si>
  <si>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</si>
  <si>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</si>
  <si>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</si>
  <si>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</si>
  <si>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</si>
  <si>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</si>
  <si>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</si>
  <si>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</si>
  <si>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</si>
  <si>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</si>
  <si>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</si>
  <si>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</si>
  <si>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</si>
  <si>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</si>
  <si>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</si>
  <si>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</si>
  <si>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</si>
  <si>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</si>
  <si>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</si>
  <si>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</si>
  <si>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</si>
  <si>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</si>
  <si>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</si>
  <si>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</si>
  <si>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</si>
  <si>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</si>
  <si>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</si>
  <si>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</si>
  <si>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</si>
  <si>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</si>
  <si>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</si>
  <si>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</si>
  <si>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</si>
  <si>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</si>
  <si>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</si>
  <si>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</si>
  <si>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</si>
  <si>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</si>
  <si>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</si>
  <si>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</si>
  <si>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</si>
  <si>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</si>
  <si>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</si>
  <si>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</si>
  <si>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</si>
  <si>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</si>
  <si>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</si>
  <si>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</si>
  <si>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</si>
  <si>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</si>
  <si>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</si>
  <si>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</si>
  <si>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</si>
  <si>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</si>
  <si>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</si>
  <si>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</si>
  <si>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</si>
  <si>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</si>
  <si>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</si>
  <si>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</si>
  <si>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</si>
  <si>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</si>
  <si>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</si>
  <si>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</si>
  <si>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</si>
  <si>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</si>
  <si>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</si>
  <si>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</si>
  <si>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</si>
  <si>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</si>
  <si>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</si>
  <si>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</si>
  <si>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</si>
  <si>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</si>
  <si>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</si>
  <si>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</si>
  <si>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</si>
  <si>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</si>
  <si>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</si>
  <si>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</si>
  <si>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</si>
  <si>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</si>
  <si>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</si>
  <si>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</si>
  <si>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</si>
  <si>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</si>
  <si>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</si>
  <si>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</si>
  <si>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</si>
  <si>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</si>
  <si>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</si>
  <si>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</si>
  <si>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</si>
  <si>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</si>
  <si>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</si>
  <si>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</si>
  <si>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</si>
  <si>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</si>
  <si>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</si>
  <si>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</si>
  <si>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</si>
  <si>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</si>
  <si>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</si>
  <si>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</si>
  <si>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</si>
  <si>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</si>
  <si>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</si>
  <si>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</si>
  <si>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</si>
  <si>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</si>
  <si>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</si>
  <si>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</si>
  <si>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</si>
  <si>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</si>
  <si>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</si>
  <si>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</si>
  <si>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</si>
  <si>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</si>
  <si>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</si>
  <si>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</si>
  <si>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</si>
  <si>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</si>
  <si>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</si>
  <si>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</si>
  <si>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</si>
  <si>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</si>
  <si>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</si>
  <si>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</si>
  <si>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</si>
  <si>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</si>
  <si>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</si>
  <si>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</si>
  <si>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</si>
  <si>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</si>
  <si>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</si>
  <si>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</si>
  <si>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</si>
  <si>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</si>
  <si>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</si>
  <si>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</si>
  <si>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</si>
  <si>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</si>
  <si>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</si>
  <si>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</si>
  <si>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</si>
  <si>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</si>
  <si>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</si>
  <si>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</si>
  <si>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</si>
  <si>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</si>
  <si>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</si>
  <si>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</si>
  <si>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</si>
  <si>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</si>
  <si>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</si>
  <si>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</si>
  <si>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</si>
  <si>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</si>
  <si>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</si>
  <si>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</si>
  <si>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</si>
  <si>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</si>
  <si>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</si>
  <si>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</si>
  <si>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</si>
  <si>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</si>
  <si>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</si>
  <si>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</si>
  <si>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</si>
  <si>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</si>
  <si>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</si>
  <si>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</si>
  <si>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</si>
  <si>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</si>
  <si>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</si>
  <si>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</si>
  <si>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</si>
  <si>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</si>
  <si>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</si>
  <si>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</si>
  <si>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</si>
  <si>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</si>
  <si>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</si>
  <si>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</si>
  <si>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</si>
  <si>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</si>
  <si>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</si>
  <si>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</si>
  <si>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</si>
  <si>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</si>
  <si>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</si>
  <si>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</si>
  <si>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</si>
  <si>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</si>
  <si>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</si>
  <si>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</si>
  <si>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</si>
  <si>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</si>
  <si>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</si>
  <si>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</si>
  <si>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</si>
  <si>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</si>
  <si>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</si>
  <si>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</si>
  <si>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</si>
  <si>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</si>
  <si>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</si>
  <si>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</si>
  <si>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</si>
  <si>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</si>
  <si>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</si>
  <si>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</si>
  <si>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</si>
  <si>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</si>
  <si>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</si>
  <si>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</si>
  <si>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</si>
  <si>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</si>
  <si>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</si>
  <si>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</si>
  <si>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</si>
  <si>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</si>
  <si>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</si>
  <si>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</si>
  <si>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</si>
  <si>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</si>
  <si>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</si>
  <si>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</si>
  <si>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</si>
  <si>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</si>
  <si>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</si>
  <si>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</si>
  <si>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</si>
  <si>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</si>
  <si>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</si>
  <si>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</si>
  <si>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</si>
  <si>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</si>
  <si>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</si>
  <si>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</si>
  <si>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</si>
  <si>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</si>
  <si>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</si>
  <si>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</si>
  <si>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</si>
  <si>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</si>
  <si>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</si>
  <si>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</si>
  <si>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</si>
  <si>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</si>
  <si>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</si>
  <si>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</si>
  <si>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</si>
  <si>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</si>
  <si>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</si>
  <si>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</si>
  <si>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</si>
  <si>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</si>
  <si>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</si>
  <si>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</si>
  <si>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</si>
  <si>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</si>
  <si>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</si>
  <si>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</si>
  <si>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</si>
  <si>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</si>
  <si>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</si>
  <si>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</si>
  <si>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</si>
  <si>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</si>
  <si>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</si>
  <si>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</si>
  <si>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</si>
  <si>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</si>
  <si>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</si>
  <si>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</si>
  <si>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</si>
  <si>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</si>
  <si>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</si>
  <si>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</si>
  <si>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</si>
  <si>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</si>
  <si>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</si>
  <si>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</si>
  <si>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</si>
  <si>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</si>
  <si>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</si>
  <si>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</si>
  <si>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</si>
  <si>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</si>
  <si>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</si>
  <si>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</si>
  <si>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</si>
  <si>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</si>
  <si>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</si>
  <si>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</si>
  <si>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</si>
  <si>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</si>
  <si>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</si>
  <si>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</si>
  <si>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</si>
  <si>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</si>
  <si>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</si>
  <si>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</si>
  <si>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</si>
  <si>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</si>
  <si>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</si>
  <si>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</si>
  <si>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</si>
  <si>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</si>
  <si>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</si>
  <si>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</si>
  <si>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</si>
  <si>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</si>
  <si>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</si>
  <si>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</si>
  <si>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</si>
  <si>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</si>
  <si>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</si>
  <si>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</si>
  <si>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</si>
  <si>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</si>
  <si>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</si>
  <si>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</si>
  <si>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</si>
  <si>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</si>
  <si>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</si>
  <si>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</si>
  <si>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</si>
  <si>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</si>
  <si>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</si>
  <si>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</si>
  <si>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</si>
  <si>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</si>
  <si>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</si>
  <si>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</si>
  <si>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</si>
  <si>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</si>
  <si>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</si>
  <si>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</si>
  <si>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</si>
  <si>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</si>
  <si>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</si>
  <si>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</si>
  <si>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</si>
  <si>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</si>
  <si>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</si>
  <si>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</si>
  <si>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</si>
  <si>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</si>
  <si>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</si>
  <si>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</si>
  <si>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</si>
  <si>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</si>
  <si>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</si>
  <si>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</si>
  <si>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</si>
  <si>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</si>
  <si>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</si>
  <si>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</si>
  <si>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</si>
  <si>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</si>
  <si>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</si>
  <si>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</si>
  <si>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</si>
  <si>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</si>
  <si>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</si>
  <si>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</si>
  <si>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</si>
  <si>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</si>
  <si>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</si>
  <si>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</si>
  <si>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</si>
  <si>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</si>
  <si>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</si>
  <si>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</si>
  <si>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</si>
  <si>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</si>
  <si>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</si>
  <si>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</si>
  <si>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</si>
  <si>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</si>
  <si>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</si>
  <si>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</si>
  <si>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</si>
  <si>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</si>
  <si>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</si>
  <si>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</si>
  <si>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</si>
  <si>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</si>
  <si>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</si>
  <si>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</si>
  <si>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</si>
  <si>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</si>
  <si>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</si>
  <si>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</si>
  <si>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</si>
  <si>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</si>
  <si>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</si>
  <si>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</si>
  <si>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</si>
  <si>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</si>
  <si>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</si>
  <si>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</si>
  <si>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</si>
  <si>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</si>
  <si>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</si>
  <si>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</si>
  <si>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</si>
  <si>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</si>
  <si>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</si>
  <si>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</si>
  <si>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</si>
  <si>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</si>
  <si>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</si>
  <si>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</si>
  <si>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</si>
  <si>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</si>
  <si>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</si>
  <si>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</si>
  <si>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</si>
  <si>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</si>
  <si>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</si>
  <si>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</si>
  <si>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</si>
  <si>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</si>
  <si>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</si>
  <si>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</si>
  <si>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</si>
  <si>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</si>
  <si>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</si>
  <si>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</si>
  <si>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</si>
  <si>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</si>
  <si>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</si>
  <si>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</si>
  <si>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</si>
  <si>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</si>
  <si>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</si>
  <si>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</si>
  <si>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</si>
  <si>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</si>
  <si>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</si>
  <si>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</si>
  <si>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</si>
  <si>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</si>
  <si>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</si>
  <si>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</si>
  <si>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</si>
  <si>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</si>
  <si>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</si>
  <si>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</si>
  <si>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</si>
  <si>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</si>
  <si>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</si>
  <si>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</si>
  <si>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</si>
  <si>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</si>
  <si>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</si>
  <si>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</si>
  <si>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</si>
  <si>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</si>
  <si>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</si>
  <si>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</si>
  <si>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</si>
  <si>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</si>
  <si>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</si>
  <si>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</si>
  <si>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</si>
  <si>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</si>
  <si>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</si>
  <si>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</si>
  <si>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</si>
  <si>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</si>
  <si>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</si>
  <si>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</si>
  <si>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</si>
  <si>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</si>
  <si>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</si>
  <si>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</si>
  <si>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</si>
  <si>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</si>
  <si>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</si>
  <si>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</si>
  <si>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</si>
  <si>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</si>
  <si>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</si>
  <si>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</si>
  <si>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</si>
  <si>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</si>
  <si>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</si>
  <si>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</si>
  <si>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</si>
  <si>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</si>
  <si>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</si>
  <si>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</si>
  <si>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</si>
  <si>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</si>
  <si>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</si>
  <si>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</si>
  <si>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</si>
  <si>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</si>
  <si>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</si>
  <si>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</si>
  <si>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</si>
  <si>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</si>
  <si>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</si>
  <si>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</si>
  <si>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</si>
  <si>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</si>
  <si>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</si>
  <si>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</si>
  <si>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</si>
  <si>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</si>
  <si>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</si>
  <si>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</si>
  <si>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</si>
  <si>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</si>
  <si>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</si>
  <si>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</si>
  <si>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</si>
  <si>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</si>
  <si>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</si>
  <si>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</si>
  <si>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</si>
  <si>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</si>
  <si>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</si>
  <si>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</si>
  <si>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</si>
  <si>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</si>
  <si>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</si>
  <si>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</si>
  <si>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</si>
  <si>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</si>
  <si>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</si>
  <si>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</si>
  <si>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</si>
  <si>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</si>
  <si>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</si>
  <si>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</si>
  <si>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</si>
  <si>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</si>
  <si>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</si>
  <si>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</si>
  <si>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</si>
  <si>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</si>
  <si>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</si>
  <si>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</si>
  <si>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</si>
  <si>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</si>
  <si>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</si>
  <si>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</si>
  <si>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</si>
  <si>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</si>
  <si>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</si>
  <si>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</si>
  <si>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</si>
  <si>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</si>
  <si>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</si>
  <si>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</si>
  <si>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</si>
  <si>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</si>
  <si>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</si>
  <si>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</si>
  <si>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</si>
  <si>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</si>
  <si>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</si>
  <si>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</si>
  <si>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</si>
  <si>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</si>
  <si>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</si>
  <si>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</si>
  <si>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</si>
  <si>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</si>
  <si>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</si>
  <si>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</si>
  <si>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</si>
  <si>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</si>
  <si>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</si>
  <si>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</si>
  <si>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</si>
  <si>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</si>
  <si>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</si>
  <si>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</si>
  <si>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</si>
  <si>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</si>
  <si>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</si>
  <si>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</si>
  <si>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</si>
  <si>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</si>
  <si>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</si>
  <si>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</si>
  <si>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</si>
  <si>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</si>
  <si>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</si>
  <si>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</si>
  <si>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</si>
  <si>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</si>
  <si>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</si>
  <si>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</si>
  <si>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</si>
  <si>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</si>
  <si>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</si>
  <si>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</si>
  <si>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</si>
  <si>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</si>
  <si>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</si>
  <si>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</si>
  <si>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</si>
  <si>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</si>
  <si>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</si>
  <si>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</si>
  <si>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</si>
  <si>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</si>
  <si>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</si>
  <si>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</si>
  <si>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</si>
  <si>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</si>
  <si>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</si>
  <si>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</si>
  <si>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</si>
  <si>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</si>
  <si>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</si>
  <si>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</si>
  <si>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</si>
  <si>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</si>
  <si>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</si>
  <si>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</si>
  <si>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</si>
  <si>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</si>
  <si>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</si>
  <si>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</si>
  <si>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</si>
  <si>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</si>
  <si>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</si>
  <si>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</si>
  <si>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</si>
  <si>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</si>
  <si>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</si>
  <si>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</si>
  <si>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</si>
  <si>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</si>
  <si>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</si>
  <si>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</si>
  <si>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</si>
  <si>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</si>
  <si>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</si>
  <si>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</si>
  <si>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</si>
  <si>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</si>
  <si>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</si>
  <si>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</si>
  <si>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</si>
  <si>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</si>
  <si>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</si>
  <si>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</si>
  <si>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</si>
  <si>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</si>
  <si>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</si>
  <si>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</si>
  <si>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</si>
  <si>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</si>
  <si>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</si>
  <si>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</si>
  <si>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</si>
  <si>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</si>
  <si>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</si>
  <si>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</si>
  <si>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</si>
  <si>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</si>
  <si>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</si>
  <si>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</si>
  <si>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</si>
  <si>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</si>
  <si>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</si>
  <si>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</si>
  <si>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</si>
  <si>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</si>
  <si>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</si>
  <si>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</si>
  <si>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</si>
  <si>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</si>
  <si>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</si>
  <si>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</si>
  <si>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</si>
  <si>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</si>
  <si>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</si>
  <si>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</si>
  <si>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</si>
  <si>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</si>
  <si>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</si>
  <si>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</si>
  <si>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</si>
  <si>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</si>
  <si>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</si>
  <si>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</si>
  <si>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</si>
  <si>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</si>
  <si>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</si>
  <si>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</si>
  <si>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</si>
  <si>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</si>
  <si>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</si>
  <si>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</si>
  <si>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</si>
  <si>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</si>
  <si>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</si>
  <si>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</si>
  <si>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</si>
  <si>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</si>
  <si>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</si>
  <si>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</si>
  <si>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</si>
  <si>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</si>
  <si>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</si>
  <si>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</si>
  <si>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</si>
  <si>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</si>
  <si>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</si>
  <si>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</si>
  <si>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</si>
  <si>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</si>
  <si>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</si>
  <si>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</si>
  <si>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</si>
  <si>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</si>
  <si>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</si>
  <si>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</si>
  <si>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</si>
  <si>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</si>
  <si>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</si>
  <si>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</si>
  <si>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</si>
  <si>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</si>
  <si>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</si>
  <si>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</si>
  <si>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</si>
  <si>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</si>
  <si>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</si>
  <si>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</si>
  <si>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</si>
  <si>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</si>
  <si>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</si>
  <si>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</si>
  <si>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</si>
  <si>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</si>
  <si>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</si>
  <si>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</si>
  <si>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</si>
  <si>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</si>
  <si>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</si>
  <si>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</si>
  <si>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</si>
  <si>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</si>
  <si>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</si>
  <si>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</si>
  <si>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</si>
  <si>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</si>
  <si>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</si>
  <si>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</si>
  <si>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</si>
  <si>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</si>
  <si>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</si>
  <si>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</si>
  <si>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</si>
  <si>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</si>
  <si>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</si>
  <si>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</si>
  <si>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</si>
  <si>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</si>
  <si>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</si>
  <si>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</si>
  <si>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</si>
  <si>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</si>
  <si>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</si>
  <si>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</si>
  <si>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</si>
  <si>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</si>
  <si>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</si>
  <si>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</si>
  <si>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</si>
  <si>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</si>
  <si>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</si>
  <si>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</si>
  <si>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</si>
  <si>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</si>
  <si>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</si>
  <si>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</si>
  <si>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</si>
  <si>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</si>
  <si>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</si>
  <si>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</si>
  <si>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</si>
  <si>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</si>
  <si>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</si>
  <si>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</si>
  <si>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</si>
  <si>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</si>
  <si>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</si>
  <si>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</si>
  <si>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</si>
  <si>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</si>
  <si>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</si>
  <si>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</si>
  <si>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</si>
  <si>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</si>
  <si>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</si>
  <si>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</si>
  <si>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</si>
  <si>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</si>
  <si>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</si>
  <si>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</si>
  <si>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</si>
  <si>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</si>
  <si>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</si>
  <si>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</si>
  <si>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</si>
  <si>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</si>
  <si>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</si>
  <si>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</si>
  <si>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</si>
  <si>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</si>
  <si>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</si>
  <si>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</si>
  <si>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</si>
  <si>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</si>
  <si>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</si>
  <si>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</si>
  <si>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</si>
  <si>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</si>
  <si>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</si>
  <si>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</si>
  <si>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</si>
  <si>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</si>
  <si>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</si>
  <si>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</si>
  <si>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</si>
  <si>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</si>
  <si>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</si>
  <si>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</si>
  <si>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</si>
  <si>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</si>
  <si>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</si>
  <si>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</si>
  <si>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</si>
  <si>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</si>
  <si>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</si>
  <si>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</si>
  <si>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</si>
  <si>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</si>
  <si>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</si>
  <si>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</si>
  <si>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</si>
  <si>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</si>
  <si>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</si>
  <si>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</si>
  <si>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</si>
  <si>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</si>
  <si>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</si>
  <si>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</si>
  <si>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</si>
  <si>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</si>
  <si>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</si>
  <si>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</si>
  <si>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</si>
  <si>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</si>
  <si>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</si>
  <si>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</si>
  <si>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</si>
  <si>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</si>
  <si>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</si>
  <si>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</si>
  <si>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</si>
  <si>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</si>
  <si>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</si>
  <si>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</si>
  <si>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</si>
  <si>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</si>
  <si>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</si>
  <si>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</si>
  <si>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</si>
  <si>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</si>
  <si>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</si>
  <si>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</si>
  <si>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</si>
  <si>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</si>
  <si>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</si>
  <si>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</si>
  <si>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</si>
  <si>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</si>
  <si>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</si>
  <si>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</si>
  <si>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</si>
  <si>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</si>
  <si>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</si>
  <si>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</si>
  <si>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</si>
  <si>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</si>
  <si>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</si>
  <si>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</si>
  <si>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</si>
  <si>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</si>
  <si>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</si>
  <si>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</si>
  <si>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</si>
  <si>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</si>
  <si>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</si>
  <si>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</si>
  <si>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</si>
  <si>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</si>
  <si>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</si>
  <si>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</si>
  <si>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</si>
  <si>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</si>
  <si>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</si>
  <si>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</si>
  <si>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</si>
  <si>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</si>
  <si>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</si>
  <si>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</si>
  <si>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</si>
  <si>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</si>
  <si>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</si>
  <si>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</si>
  <si>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</si>
  <si>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</si>
  <si>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</si>
  <si>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</si>
  <si>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</si>
  <si>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</si>
  <si>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</si>
  <si>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</si>
  <si>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</si>
  <si>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</si>
  <si>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</si>
  <si>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</si>
  <si>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</si>
  <si>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</si>
  <si>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</si>
  <si>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</si>
  <si>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</si>
  <si>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</si>
  <si>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</si>
  <si>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</si>
  <si>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</si>
  <si>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</si>
  <si>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</si>
  <si>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</si>
  <si>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</si>
  <si>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</si>
  <si>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</si>
  <si>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</si>
  <si>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</si>
  <si>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</si>
  <si>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</si>
  <si>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</si>
  <si>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</si>
  <si>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</si>
  <si>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</si>
  <si>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</si>
  <si>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</si>
  <si>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</si>
  <si>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</si>
  <si>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</si>
  <si>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</si>
  <si>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</si>
  <si>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</si>
  <si>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</si>
  <si>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</si>
  <si>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</si>
  <si>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</si>
  <si>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</si>
  <si>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</si>
  <si>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</si>
  <si>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</si>
  <si>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</si>
  <si>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</si>
  <si>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</si>
  <si>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</si>
  <si>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</si>
  <si>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</si>
  <si>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</si>
  <si>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</si>
  <si>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</si>
  <si>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</si>
  <si>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</si>
  <si>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</si>
  <si>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</si>
  <si>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</si>
  <si>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</si>
  <si>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</si>
  <si>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</si>
  <si>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</si>
  <si>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</si>
  <si>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</si>
  <si>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</si>
  <si>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</si>
  <si>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</si>
  <si>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</si>
  <si>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</si>
  <si>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</si>
  <si>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</si>
  <si>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</si>
  <si>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</si>
  <si>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</si>
  <si>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</si>
  <si>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</si>
  <si>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</si>
  <si>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</si>
  <si>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</si>
  <si>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</si>
  <si>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</si>
  <si>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</si>
  <si>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</si>
  <si>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</si>
  <si>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</si>
  <si>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</si>
  <si>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</si>
  <si>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</si>
  <si>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</si>
  <si>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</si>
  <si>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</si>
  <si>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</si>
  <si>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</si>
  <si>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</si>
  <si>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</si>
  <si>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</si>
  <si>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</si>
  <si>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</si>
  <si>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</si>
  <si>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</si>
  <si>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</si>
  <si>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</si>
  <si>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</si>
  <si>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</si>
  <si>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</si>
  <si>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</si>
  <si>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</si>
  <si>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</si>
  <si>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</si>
  <si>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</si>
  <si>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</si>
  <si>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</si>
  <si>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</si>
  <si>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</si>
  <si>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</si>
  <si>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</si>
  <si>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</si>
  <si>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</si>
  <si>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</si>
  <si>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</si>
  <si>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</si>
  <si>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</si>
  <si>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</si>
  <si>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</si>
  <si>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</si>
  <si>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</si>
  <si>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</si>
  <si>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</si>
  <si>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</si>
  <si>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</si>
  <si>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</si>
  <si>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</si>
  <si>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</si>
  <si>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</si>
  <si>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</si>
  <si>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</si>
  <si>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</si>
  <si>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</si>
  <si>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</si>
  <si>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</si>
  <si>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</si>
  <si>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</si>
  <si>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</si>
  <si>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</si>
  <si>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</si>
  <si>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</si>
  <si>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</si>
  <si>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</si>
  <si>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</si>
  <si>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</si>
  <si>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</si>
  <si>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</si>
  <si>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</si>
  <si>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</si>
  <si>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</si>
  <si>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</si>
  <si>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</si>
  <si>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</si>
  <si>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</si>
  <si>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</si>
  <si>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</si>
  <si>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</si>
  <si>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</si>
  <si>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</si>
  <si>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</si>
  <si>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</si>
  <si>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</si>
  <si>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</si>
  <si>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</si>
  <si>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</si>
  <si>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</si>
  <si>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</si>
  <si>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</si>
  <si>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</si>
  <si>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</si>
  <si>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</si>
  <si>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</si>
  <si>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</si>
  <si>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</si>
  <si>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</si>
  <si>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</si>
  <si>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</si>
  <si>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</si>
  <si>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</si>
  <si>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</si>
  <si>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</si>
  <si>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</si>
  <si>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</si>
  <si>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</si>
  <si>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</si>
  <si>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</si>
  <si>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</si>
  <si>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</si>
  <si>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</si>
  <si>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</si>
  <si>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</si>
  <si>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</si>
  <si>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</si>
  <si>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</si>
  <si>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</si>
  <si>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</si>
  <si>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</si>
  <si>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</si>
  <si>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</si>
  <si>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</si>
  <si>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</si>
  <si>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</si>
  <si>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</si>
  <si>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</si>
  <si>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</si>
  <si>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</si>
  <si>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</si>
  <si>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</si>
  <si>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</si>
  <si>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</si>
  <si>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</si>
  <si>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</si>
  <si>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</si>
  <si>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</si>
  <si>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</si>
  <si>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</si>
  <si>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</si>
  <si>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</si>
  <si>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</si>
  <si>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</si>
  <si>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</si>
  <si>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</si>
  <si>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</si>
  <si>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</si>
  <si>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</si>
  <si>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</si>
  <si>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</si>
  <si>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</si>
  <si>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</si>
  <si>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</si>
  <si>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</si>
  <si>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</si>
  <si>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</si>
  <si>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</si>
  <si>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</si>
  <si>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</si>
  <si>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</si>
  <si>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</si>
  <si>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</si>
  <si>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</si>
  <si>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</si>
  <si>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</si>
  <si>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</si>
  <si>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</si>
  <si>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</si>
  <si>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</si>
  <si>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</si>
  <si>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</si>
  <si>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</si>
  <si>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</si>
  <si>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</si>
  <si>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</si>
  <si>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</si>
  <si>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</si>
  <si>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</si>
  <si>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</si>
  <si>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</si>
  <si>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</si>
  <si>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</si>
  <si>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</si>
  <si>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</si>
  <si>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</si>
  <si>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</si>
  <si>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</si>
  <si>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</si>
  <si>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</si>
  <si>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</si>
  <si>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</si>
  <si>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</si>
  <si>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</si>
  <si>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</si>
  <si>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</si>
  <si>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</si>
  <si>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</si>
  <si>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</si>
  <si>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</si>
  <si>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</si>
  <si>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</si>
  <si>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</si>
  <si>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</si>
  <si>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</si>
  <si>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</si>
  <si>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</si>
  <si>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</si>
  <si>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</si>
  <si>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</si>
  <si>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</si>
  <si>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</si>
  <si>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</si>
  <si>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</si>
  <si>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</si>
  <si>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</si>
  <si>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</si>
  <si>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</si>
  <si>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</si>
  <si>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</si>
  <si>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</si>
  <si>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</si>
  <si>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</si>
  <si>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</si>
  <si>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</si>
  <si>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</si>
  <si>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</si>
  <si>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</si>
  <si>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</si>
  <si>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</si>
  <si>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</si>
  <si>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</si>
  <si>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</si>
  <si>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</si>
  <si>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</si>
  <si>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</si>
  <si>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</si>
  <si>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</si>
  <si>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</si>
  <si>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</si>
  <si>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</si>
  <si>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</si>
  <si>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</si>
  <si>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</si>
  <si>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</si>
  <si>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</si>
  <si>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</si>
  <si>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</si>
  <si>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</si>
  <si>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</si>
  <si>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</si>
  <si>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</si>
  <si>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</si>
  <si>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</si>
  <si>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</si>
  <si>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</si>
  <si>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</si>
  <si>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</si>
  <si>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</si>
  <si>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</si>
  <si>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</si>
  <si>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</si>
  <si>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</si>
  <si>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</si>
  <si>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</si>
  <si>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</si>
  <si>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</si>
  <si>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</si>
  <si>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</si>
  <si>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</si>
  <si>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</si>
  <si>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</si>
  <si>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</si>
  <si>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</si>
  <si>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</si>
  <si>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</si>
  <si>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</si>
  <si>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</si>
  <si>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</si>
  <si>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</si>
  <si>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</si>
  <si>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</si>
  <si>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</si>
  <si>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</si>
  <si>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</si>
  <si>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</si>
  <si>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</si>
  <si>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</si>
  <si>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</si>
  <si>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</si>
  <si>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</si>
  <si>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</si>
  <si>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</si>
  <si>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</si>
  <si>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</si>
  <si>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</si>
  <si>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</si>
  <si>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</si>
  <si>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</si>
  <si>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</si>
  <si>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</si>
  <si>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</si>
  <si>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</si>
  <si>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</si>
  <si>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</si>
  <si>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</si>
  <si>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</si>
  <si>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</si>
  <si>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</si>
  <si>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</si>
  <si>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</si>
  <si>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</si>
  <si>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</si>
  <si>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</si>
  <si>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</si>
  <si>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</si>
  <si>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</si>
  <si>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</si>
  <si>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</si>
  <si>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</si>
  <si>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</si>
  <si>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</si>
  <si>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</si>
  <si>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</si>
  <si>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</si>
  <si>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</si>
  <si>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</si>
  <si>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</si>
  <si>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</si>
  <si>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</si>
  <si>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</si>
  <si>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</si>
  <si>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</si>
  <si>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</si>
  <si>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</si>
  <si>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</si>
  <si>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</si>
  <si>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</si>
  <si>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</si>
  <si>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</si>
  <si>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</si>
  <si>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</si>
  <si>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</si>
  <si>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</si>
  <si>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</si>
  <si>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</si>
  <si>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</si>
  <si>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</si>
  <si>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</si>
  <si>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</si>
  <si>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</si>
  <si>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</si>
  <si>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</si>
  <si>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</si>
  <si>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</si>
  <si>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</si>
  <si>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</si>
  <si>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</si>
  <si>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</si>
  <si>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</si>
  <si>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</si>
  <si>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</si>
  <si>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</si>
  <si>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</si>
  <si>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</si>
  <si>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</si>
  <si>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</si>
  <si>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</si>
  <si>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</si>
  <si>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</si>
  <si>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</si>
  <si>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</si>
  <si>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</si>
  <si>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</si>
  <si>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</si>
  <si>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</si>
  <si>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</si>
  <si>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</si>
  <si>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</si>
  <si>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</si>
  <si>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</si>
  <si>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</si>
  <si>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</si>
  <si>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</si>
  <si>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</si>
  <si>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</si>
  <si>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</si>
  <si>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</si>
  <si>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</si>
  <si>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</si>
  <si>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</si>
  <si>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</si>
  <si>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</si>
  <si>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</si>
  <si>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</si>
  <si>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</si>
  <si>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</si>
  <si>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</si>
  <si>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</si>
  <si>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</si>
  <si>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</si>
  <si>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</si>
  <si>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</si>
  <si>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</si>
  <si>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</si>
  <si>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</si>
  <si>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</si>
  <si>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</si>
  <si>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</si>
  <si>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</si>
  <si>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</si>
  <si>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</si>
  <si>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</si>
  <si>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</si>
  <si>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</si>
  <si>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</si>
  <si>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</si>
  <si>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</si>
  <si>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</si>
  <si>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</si>
  <si>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</si>
  <si>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</si>
  <si>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</si>
  <si>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</si>
  <si>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</si>
  <si>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</si>
  <si>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</si>
  <si>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</si>
  <si>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</si>
  <si>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</si>
  <si>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</si>
  <si>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</si>
  <si>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</si>
  <si>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</si>
  <si>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</si>
  <si>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</si>
  <si>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</si>
  <si>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</si>
  <si>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</si>
  <si>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</si>
  <si>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</si>
  <si>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</si>
  <si>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</si>
  <si>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</si>
  <si>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</si>
  <si>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</si>
  <si>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</si>
  <si>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</si>
  <si>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</si>
  <si>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</si>
  <si>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</si>
  <si>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</si>
  <si>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</si>
  <si>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</si>
  <si>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</si>
  <si>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</si>
  <si>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</si>
  <si>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</si>
  <si>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</si>
  <si>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</si>
  <si>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</si>
  <si>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</si>
  <si>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</si>
  <si>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</si>
  <si>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</si>
  <si>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</si>
  <si>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</si>
  <si>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</si>
  <si>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</si>
  <si>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</si>
  <si>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</si>
  <si>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</si>
  <si>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</si>
  <si>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</si>
  <si>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</si>
  <si>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</si>
  <si>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</si>
  <si>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</si>
  <si>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</si>
  <si>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</si>
  <si>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</si>
  <si>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</si>
  <si>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</si>
  <si>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</si>
  <si>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</si>
  <si>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</si>
  <si>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</si>
  <si>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</si>
  <si>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</si>
  <si>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</si>
  <si>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</si>
  <si>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</si>
  <si>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</si>
  <si>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</si>
  <si>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</si>
  <si>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</si>
  <si>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</si>
  <si>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</si>
  <si>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</si>
  <si>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</si>
  <si>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</si>
  <si>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</si>
  <si>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</si>
  <si>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</si>
  <si>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</si>
  <si>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</si>
  <si>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</si>
  <si>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</si>
  <si>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</si>
  <si>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</si>
  <si>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</si>
  <si>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</si>
  <si>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</si>
  <si>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</si>
  <si>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</si>
  <si>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</si>
  <si>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</si>
  <si>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</si>
  <si>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</si>
  <si>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</si>
  <si>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</si>
  <si>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</si>
  <si>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</si>
  <si>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</si>
  <si>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</si>
  <si>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</si>
  <si>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</si>
  <si>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</si>
  <si>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</si>
  <si>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</si>
  <si>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</si>
  <si>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</si>
  <si>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</si>
  <si>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</si>
  <si>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</si>
  <si>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</si>
  <si>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</si>
  <si>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</si>
  <si>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</si>
  <si>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</si>
  <si>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</si>
  <si>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</si>
  <si>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</si>
  <si>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</si>
  <si>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</si>
  <si>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</si>
  <si>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</si>
  <si>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</si>
  <si>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</si>
  <si>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</si>
  <si>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</si>
  <si>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</si>
  <si>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</si>
  <si>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</si>
  <si>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</si>
  <si>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</si>
  <si>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</si>
  <si>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</si>
  <si>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</si>
  <si>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</si>
  <si>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</si>
  <si>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</si>
  <si>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</si>
  <si>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</si>
  <si>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</si>
  <si>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</si>
  <si>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</si>
  <si>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</si>
  <si>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</si>
  <si>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</si>
  <si>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</si>
  <si>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</si>
  <si>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</si>
  <si>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</si>
  <si>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</si>
  <si>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</si>
  <si>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</si>
  <si>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</si>
  <si>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</si>
  <si>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</si>
  <si>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</si>
  <si>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</si>
  <si>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</si>
  <si>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</si>
  <si>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</si>
  <si>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</si>
  <si>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</si>
  <si>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</si>
  <si>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</si>
  <si>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</si>
  <si>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</si>
  <si>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</si>
  <si>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</si>
  <si>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</si>
  <si>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</si>
  <si>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</si>
  <si>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</si>
  <si>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</si>
  <si>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</si>
  <si>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</si>
  <si>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</si>
  <si>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</si>
  <si>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</si>
  <si>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</si>
  <si>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</si>
  <si>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</si>
  <si>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</si>
  <si>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</si>
  <si>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</si>
  <si>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</si>
  <si>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</si>
  <si>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</si>
  <si>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</si>
  <si>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</si>
  <si>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</si>
  <si>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</si>
  <si>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</si>
  <si>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</si>
  <si>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</si>
  <si>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</si>
  <si>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</si>
  <si>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</si>
  <si>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</si>
  <si>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</si>
  <si>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</si>
  <si>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</si>
  <si>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</si>
  <si>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</si>
  <si>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</si>
  <si>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</si>
  <si>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</si>
  <si>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</si>
  <si>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</si>
  <si>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</si>
  <si>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</si>
  <si>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</si>
  <si>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</si>
  <si>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</si>
  <si>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</si>
  <si>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</si>
  <si>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</si>
  <si>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</si>
  <si>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</si>
  <si>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</si>
  <si>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</si>
  <si>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</si>
  <si>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</si>
  <si>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</si>
  <si>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</si>
  <si>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</si>
  <si>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</si>
  <si>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</si>
  <si>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</si>
  <si>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</si>
  <si>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</si>
  <si>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</si>
  <si>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</si>
  <si>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</si>
  <si>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</si>
  <si>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</si>
  <si>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</si>
  <si>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</si>
  <si>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</si>
  <si>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</si>
  <si>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</si>
  <si>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</si>
  <si>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</si>
  <si>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</si>
  <si>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</si>
  <si>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</si>
  <si>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</si>
  <si>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</si>
  <si>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</si>
  <si>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</si>
  <si>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</si>
  <si>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</si>
  <si>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</si>
  <si>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</si>
  <si>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</si>
  <si>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</si>
  <si>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</si>
  <si>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</si>
  <si>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</si>
  <si>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</si>
  <si>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</si>
  <si>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</si>
  <si>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</si>
  <si>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</si>
  <si>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</si>
  <si>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</si>
  <si>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</si>
  <si>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</si>
  <si>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</si>
  <si>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</si>
  <si>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</si>
  <si>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</si>
  <si>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</si>
  <si>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</si>
  <si>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</si>
  <si>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</si>
  <si>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</si>
  <si>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</si>
  <si>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</si>
  <si>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</si>
  <si>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</si>
  <si>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</si>
  <si>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</si>
  <si>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</si>
  <si>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</si>
  <si>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</si>
  <si>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</si>
  <si>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</si>
  <si>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</si>
  <si>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</si>
  <si>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</si>
  <si>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</si>
  <si>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</si>
  <si>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</si>
  <si>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</si>
  <si>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</si>
  <si>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</si>
  <si>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</si>
  <si>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</si>
  <si>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</si>
  <si>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</si>
  <si>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</si>
  <si>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</si>
  <si>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</si>
  <si>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</si>
  <si>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</si>
  <si>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</si>
  <si>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</si>
  <si>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</si>
  <si>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</si>
  <si>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</si>
  <si>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</si>
  <si>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</si>
  <si>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</si>
  <si>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</si>
  <si>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</si>
  <si>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</si>
  <si>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</si>
  <si>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</si>
  <si>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</si>
  <si>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</si>
  <si>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</si>
  <si>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</si>
  <si>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</si>
  <si>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</si>
  <si>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</si>
  <si>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</si>
  <si>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</si>
  <si>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</si>
  <si>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</si>
  <si>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</si>
  <si>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</si>
  <si>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</si>
  <si>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</si>
  <si>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</si>
  <si>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</si>
  <si>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</si>
  <si>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</si>
  <si>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</si>
  <si>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</si>
  <si>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</si>
  <si>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</si>
  <si>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</si>
  <si>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</si>
  <si>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</si>
  <si>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</si>
  <si>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</si>
  <si>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</si>
  <si>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</si>
  <si>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</si>
  <si>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</si>
  <si>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</si>
  <si>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</si>
  <si>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</si>
  <si>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</si>
  <si>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</si>
  <si>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</si>
  <si>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</si>
  <si>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</si>
  <si>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</si>
  <si>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</si>
  <si>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</si>
  <si>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</si>
  <si>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</si>
  <si>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</si>
  <si>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</si>
  <si>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</si>
  <si>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</si>
  <si>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</si>
  <si>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</si>
  <si>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</si>
  <si>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</si>
  <si>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</si>
  <si>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</si>
  <si>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</si>
  <si>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</si>
  <si>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</si>
  <si>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</si>
  <si>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</si>
  <si>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</si>
  <si>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</si>
  <si>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</si>
  <si>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</si>
  <si>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</si>
  <si>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</si>
  <si>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</si>
  <si>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</si>
  <si>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</si>
  <si>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</si>
  <si>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</si>
  <si>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</si>
  <si>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</si>
  <si>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</si>
  <si>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</si>
  <si>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</si>
  <si>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</si>
  <si>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</si>
  <si>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</si>
  <si>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</si>
  <si>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</si>
  <si>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</si>
  <si>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</si>
  <si>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</si>
  <si>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</si>
  <si>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</si>
  <si>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</si>
  <si>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</si>
  <si>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</si>
  <si>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</si>
  <si>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</si>
  <si>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</si>
  <si>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</si>
  <si>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</si>
  <si>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</si>
  <si>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</si>
  <si>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</si>
  <si>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</si>
  <si>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</si>
  <si>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</si>
  <si>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</si>
  <si>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</si>
  <si>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</si>
  <si>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</si>
  <si>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</si>
  <si>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</si>
  <si>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</si>
  <si>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</si>
  <si>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</si>
  <si>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</si>
  <si>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</si>
  <si>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</si>
  <si>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</si>
  <si>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</si>
  <si>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</si>
  <si>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</si>
  <si>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</si>
  <si>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</si>
  <si>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</si>
  <si>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</si>
  <si>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</si>
  <si>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</si>
  <si>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</si>
  <si>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</si>
  <si>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</si>
  <si>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</si>
  <si>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</si>
  <si>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</si>
  <si>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</si>
  <si>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</si>
  <si>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</si>
  <si>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</si>
  <si>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</si>
  <si>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</si>
  <si>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</si>
  <si>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</si>
  <si>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</si>
  <si>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</si>
  <si>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</si>
  <si>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</si>
  <si>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</si>
  <si>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</si>
  <si>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</si>
  <si>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</si>
  <si>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</si>
  <si>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</si>
  <si>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</si>
  <si>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</si>
  <si>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</si>
  <si>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</si>
  <si>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</si>
  <si>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</si>
  <si>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</si>
  <si>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</si>
  <si>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</si>
  <si>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</si>
  <si>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</si>
  <si>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</si>
  <si>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</si>
  <si>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</si>
  <si>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</si>
  <si>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</si>
  <si>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</si>
  <si>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</si>
  <si>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</si>
  <si>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</si>
  <si>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</si>
  <si>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</si>
  <si>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</si>
  <si>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</si>
  <si>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</si>
  <si>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</si>
  <si>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</si>
  <si>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</si>
  <si>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</si>
  <si>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</si>
  <si>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</si>
  <si>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</si>
  <si>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</si>
  <si>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</si>
  <si>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</si>
  <si>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</si>
  <si>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</si>
  <si>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</si>
  <si>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</si>
  <si>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</si>
  <si>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</si>
  <si>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</si>
  <si>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</si>
  <si>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</si>
  <si>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</si>
  <si>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</si>
  <si>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Наличност в края на периода и преводи в процес на сетълмент
(§95-07 - §95-13; §96-07 - §96-09) в лв.:</t>
  </si>
  <si>
    <t>VII. Наличности от възстановени отчисления от РИОСВ</t>
  </si>
  <si>
    <t>Разшифровка на наличностите в края на периода и преводите в процес на сетълмент (от §95-07 до §95-13; §96-07 - §96-09)  в касовия отчет на бюджета на общината към</t>
  </si>
  <si>
    <t>Дофинансиране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</si>
  <si>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30.04.2025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</si>
  <si>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2025 г." и "Отчет към …… " автоматично се генерират даннни от sheet "OTCHET" към съотвтения месец.</t>
  </si>
  <si>
    <t>6. Колоната "Очаквано изпълнение за 2025 г. - общо" е сума от отчета към съответния месец и очакваните суми по бюджетните позиции, разнесени по месеци.</t>
  </si>
  <si>
    <t xml:space="preserve">РАЗШИФРОВКА НА НАЛИЧНИТЕ СРЕДСТВА ПО БЮДЖЕТА НА ОБЩИНАТА И ПРЕВОДИТЕ В ПРОЦЕС </t>
  </si>
  <si>
    <t xml:space="preserve"> НА СЕТЪЛМЕНТ, ПО ИЗТОЧНИЦИ (В ЛВ.)</t>
  </si>
  <si>
    <t>ДЕТСКА ГРАДИНА „СЛЪНЦЕ”</t>
  </si>
  <si>
    <t>1201341</t>
  </si>
  <si>
    <t>ДИАНА СИМЕОНОВА ГЕОРГИЕВА</t>
  </si>
  <si>
    <t>АЛЕКСИ ВАСИЛЕВ АЛЕКСОВ</t>
  </si>
  <si>
    <t>b754</t>
  </si>
  <si>
    <t>d630</t>
  </si>
  <si>
    <t>c926</t>
  </si>
  <si>
    <t>endprint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</si>
</sst>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  <numFmt numFmtId="183" formatCode="0.0_)"/>
    <numFmt numFmtId="184" formatCode="\x"/>
  </numFmts>
  <fonts count="294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b/>
      <sz val="14"/>
      <color rgb="FF663300"/>
      <name val="Times New Roman"/>
      <family val="1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25" fillId="0" borderId="0"/>
    <xf numFmtId="0" fontId="33" fillId="0" borderId="0"/>
    <xf numFmtId="0" fontId="161" fillId="0" borderId="0"/>
    <xf numFmtId="0" fontId="158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</cellStyleXfs>
  <cellXfs count="2040">
    <xf numFmtId="0" fontId="0" fillId="0" borderId="0" xfId="0"/>
    <xf numFmtId="0" fontId="6" fillId="0" borderId="0" xfId="12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6" fillId="2" borderId="0" xfId="4" applyNumberFormat="1" applyFont="1" applyFill="1" applyAlignment="1">
      <alignment vertical="center"/>
    </xf>
    <xf numFmtId="1" fontId="26" fillId="3" borderId="0" xfId="4" applyNumberFormat="1" applyFont="1" applyFill="1" applyAlignment="1">
      <alignment vertical="center"/>
    </xf>
    <xf numFmtId="0" fontId="3" fillId="0" borderId="0" xfId="4" applyFont="1" applyAlignment="1" applyProtection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3" fillId="0" borderId="0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NumberFormat="1" applyFont="1" applyFill="1" applyBorder="1" applyAlignment="1">
      <alignment horizontal="right"/>
    </xf>
    <xf numFmtId="0" fontId="3" fillId="0" borderId="2" xfId="12" quotePrefix="1" applyNumberFormat="1" applyFont="1" applyFill="1" applyBorder="1" applyAlignment="1">
      <alignment horizontal="right"/>
    </xf>
    <xf numFmtId="0" fontId="10" fillId="0" borderId="2" xfId="12" quotePrefix="1" applyNumberFormat="1" applyFont="1" applyFill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4" borderId="0" xfId="4" applyNumberFormat="1" applyFont="1" applyFill="1" applyAlignment="1">
      <alignment horizontal="right"/>
    </xf>
    <xf numFmtId="0" fontId="3" fillId="0" borderId="0" xfId="4" applyNumberFormat="1" applyFont="1" applyFill="1" applyAlignment="1">
      <alignment horizontal="right"/>
    </xf>
    <xf numFmtId="0" fontId="10" fillId="0" borderId="0" xfId="12" applyNumberFormat="1" applyFont="1" applyFill="1" applyAlignment="1">
      <alignment horizontal="right"/>
    </xf>
    <xf numFmtId="0" fontId="10" fillId="0" borderId="0" xfId="12" applyFont="1" applyFill="1" applyBorder="1"/>
    <xf numFmtId="0" fontId="3" fillId="0" borderId="0" xfId="12" applyNumberFormat="1" applyFont="1" applyFill="1" applyAlignment="1">
      <alignment horizontal="right"/>
    </xf>
    <xf numFmtId="165" fontId="6" fillId="0" borderId="0" xfId="12" applyNumberFormat="1" applyFont="1" applyFill="1" applyBorder="1"/>
    <xf numFmtId="0" fontId="3" fillId="0" borderId="0" xfId="12" applyFont="1" applyFill="1" applyBorder="1"/>
    <xf numFmtId="165" fontId="3" fillId="0" borderId="0" xfId="12" applyNumberFormat="1" applyFont="1" applyFill="1" applyProtection="1">
      <protection locked="0"/>
    </xf>
    <xf numFmtId="165" fontId="3" fillId="0" borderId="0" xfId="12" applyNumberFormat="1" applyFont="1" applyFill="1"/>
    <xf numFmtId="165" fontId="3" fillId="0" borderId="0" xfId="12" applyNumberFormat="1" applyFont="1" applyFill="1" applyBorder="1"/>
    <xf numFmtId="165" fontId="6" fillId="0" borderId="0" xfId="12" applyNumberFormat="1" applyFont="1" applyFill="1"/>
    <xf numFmtId="0" fontId="3" fillId="0" borderId="0" xfId="12" applyFont="1" applyFill="1"/>
    <xf numFmtId="0" fontId="3" fillId="0" borderId="0" xfId="4" applyNumberFormat="1" applyFont="1" applyBorder="1" applyAlignment="1">
      <alignment horizontal="right"/>
    </xf>
    <xf numFmtId="3" fontId="3" fillId="0" borderId="0" xfId="4" applyNumberFormat="1" applyFont="1" applyAlignment="1">
      <alignment horizontal="right" vertical="center"/>
    </xf>
    <xf numFmtId="3" fontId="3" fillId="0" borderId="0" xfId="4" applyNumberFormat="1" applyFont="1" applyAlignment="1" applyProtection="1">
      <alignment horizontal="right" vertical="center"/>
    </xf>
    <xf numFmtId="0" fontId="10" fillId="0" borderId="0" xfId="4" applyNumberFormat="1" applyFont="1" applyBorder="1" applyAlignment="1">
      <alignment horizontal="right"/>
    </xf>
    <xf numFmtId="0" fontId="10" fillId="4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0" borderId="0" xfId="4" applyNumberFormat="1" applyFont="1" applyFill="1" applyBorder="1" applyAlignment="1">
      <alignment horizontal="right"/>
    </xf>
    <xf numFmtId="0" fontId="3" fillId="4" borderId="0" xfId="4" applyNumberFormat="1" applyFont="1" applyFill="1" applyBorder="1" applyAlignment="1">
      <alignment horizontal="right"/>
    </xf>
    <xf numFmtId="0" fontId="3" fillId="5" borderId="0" xfId="4" applyNumberFormat="1" applyFont="1" applyFill="1" applyBorder="1" applyAlignment="1">
      <alignment horizontal="right"/>
    </xf>
    <xf numFmtId="0" fontId="10" fillId="0" borderId="0" xfId="12" applyFont="1" applyFill="1"/>
    <xf numFmtId="0" fontId="7" fillId="4" borderId="0" xfId="12" applyFont="1" applyFill="1" applyBorder="1" applyAlignment="1">
      <alignment horizontal="right"/>
    </xf>
    <xf numFmtId="165" fontId="10" fillId="0" borderId="0" xfId="12" applyNumberFormat="1" applyFont="1" applyFill="1" applyBorder="1"/>
    <xf numFmtId="165" fontId="10" fillId="0" borderId="0" xfId="12" applyNumberFormat="1" applyFont="1" applyFill="1" applyBorder="1" applyProtection="1">
      <protection locked="0"/>
    </xf>
    <xf numFmtId="165" fontId="10" fillId="0" borderId="0" xfId="12" applyNumberFormat="1" applyFont="1" applyFill="1"/>
    <xf numFmtId="165" fontId="10" fillId="0" borderId="0" xfId="12" applyNumberFormat="1" applyFont="1" applyFill="1" applyProtection="1">
      <protection locked="0"/>
    </xf>
    <xf numFmtId="165" fontId="7" fillId="0" borderId="0" xfId="12" applyNumberFormat="1" applyFont="1" applyFill="1"/>
    <xf numFmtId="0" fontId="3" fillId="0" borderId="0" xfId="12" applyNumberFormat="1" applyFont="1" applyFill="1" applyBorder="1" applyAlignment="1">
      <alignment horizontal="right"/>
    </xf>
    <xf numFmtId="165" fontId="23" fillId="0" borderId="0" xfId="12" applyNumberFormat="1" applyFont="1" applyFill="1" applyBorder="1"/>
    <xf numFmtId="165" fontId="23" fillId="0" borderId="0" xfId="12" applyNumberFormat="1" applyFont="1" applyFill="1" applyBorder="1" applyProtection="1">
      <protection locked="0"/>
    </xf>
    <xf numFmtId="165" fontId="28" fillId="0" borderId="0" xfId="12" applyNumberFormat="1" applyFont="1" applyFill="1" applyBorder="1"/>
    <xf numFmtId="0" fontId="23" fillId="0" borderId="0" xfId="12" applyFont="1" applyFill="1" applyBorder="1"/>
    <xf numFmtId="0" fontId="23" fillId="0" borderId="0" xfId="12" applyFont="1" applyFill="1"/>
    <xf numFmtId="3" fontId="3" fillId="0" borderId="0" xfId="4" applyNumberFormat="1" applyFont="1" applyBorder="1" applyAlignment="1" applyProtection="1">
      <alignment horizontal="right" vertical="center"/>
    </xf>
    <xf numFmtId="0" fontId="3" fillId="0" borderId="0" xfId="4" applyNumberFormat="1" applyFont="1" applyBorder="1" applyAlignment="1" applyProtection="1">
      <alignment horizontal="right"/>
      <protection locked="0"/>
    </xf>
    <xf numFmtId="0" fontId="29" fillId="0" borderId="0" xfId="4" applyFont="1"/>
    <xf numFmtId="0" fontId="29" fillId="0" borderId="0" xfId="4" applyFont="1" applyAlignment="1"/>
    <xf numFmtId="0" fontId="29" fillId="0" borderId="0" xfId="4" applyFont="1" applyAlignment="1">
      <alignment wrapText="1"/>
    </xf>
    <xf numFmtId="3" fontId="29" fillId="0" borderId="0" xfId="4" applyNumberFormat="1" applyFont="1" applyAlignment="1"/>
    <xf numFmtId="0" fontId="25" fillId="0" borderId="0" xfId="4"/>
    <xf numFmtId="0" fontId="6" fillId="0" borderId="0" xfId="4" applyFont="1" applyAlignment="1"/>
    <xf numFmtId="0" fontId="29" fillId="6" borderId="0" xfId="4" applyFont="1" applyFill="1"/>
    <xf numFmtId="169" fontId="29" fillId="0" borderId="0" xfId="4" applyNumberFormat="1" applyFont="1"/>
    <xf numFmtId="0" fontId="29" fillId="6" borderId="0" xfId="4" applyFont="1" applyFill="1" applyBorder="1"/>
    <xf numFmtId="3" fontId="24" fillId="6" borderId="0" xfId="4" applyNumberFormat="1" applyFont="1" applyFill="1" applyBorder="1" applyAlignment="1">
      <alignment horizontal="right"/>
    </xf>
    <xf numFmtId="0" fontId="25" fillId="6" borderId="0" xfId="4" applyFill="1" applyBorder="1"/>
    <xf numFmtId="0" fontId="29" fillId="0" borderId="0" xfId="4" applyFont="1" applyFill="1"/>
    <xf numFmtId="0" fontId="31" fillId="3" borderId="0" xfId="4" applyFont="1" applyFill="1" applyAlignment="1">
      <alignment vertical="center"/>
    </xf>
    <xf numFmtId="0" fontId="24" fillId="0" borderId="0" xfId="4" applyFont="1" applyBorder="1" applyAlignment="1">
      <alignment vertical="center"/>
    </xf>
    <xf numFmtId="3" fontId="29" fillId="0" borderId="0" xfId="4" applyNumberFormat="1" applyFont="1" applyAlignment="1" applyProtection="1"/>
    <xf numFmtId="3" fontId="24" fillId="6" borderId="0" xfId="4" applyNumberFormat="1" applyFont="1" applyFill="1" applyBorder="1" applyAlignment="1" applyProtection="1">
      <alignment horizontal="right"/>
    </xf>
    <xf numFmtId="0" fontId="25" fillId="0" borderId="0" xfId="4" applyProtection="1"/>
    <xf numFmtId="0" fontId="6" fillId="0" borderId="0" xfId="4" applyFont="1" applyAlignment="1">
      <alignment horizontal="center" wrapText="1"/>
    </xf>
    <xf numFmtId="0" fontId="49" fillId="0" borderId="0" xfId="12" quotePrefix="1" applyFont="1" applyFill="1" applyBorder="1" applyAlignment="1">
      <alignment horizontal="right" vertical="center"/>
    </xf>
    <xf numFmtId="0" fontId="3" fillId="7" borderId="0" xfId="4" applyFont="1" applyFill="1" applyBorder="1" applyAlignment="1">
      <alignment vertical="center"/>
    </xf>
    <xf numFmtId="0" fontId="3" fillId="7" borderId="0" xfId="4" applyFont="1" applyFill="1" applyBorder="1" applyAlignment="1">
      <alignment vertical="center" wrapText="1"/>
    </xf>
    <xf numFmtId="3" fontId="3" fillId="7" borderId="0" xfId="4" applyNumberFormat="1" applyFont="1" applyFill="1" applyBorder="1" applyAlignment="1">
      <alignment horizontal="right" vertical="center"/>
    </xf>
    <xf numFmtId="3" fontId="3" fillId="7" borderId="0" xfId="4" applyNumberFormat="1" applyFont="1" applyFill="1" applyBorder="1" applyAlignment="1">
      <alignment horizontal="center" vertical="center"/>
    </xf>
    <xf numFmtId="14" fontId="3" fillId="7" borderId="0" xfId="4" quotePrefix="1" applyNumberFormat="1" applyFont="1" applyFill="1" applyBorder="1" applyAlignment="1" applyProtection="1">
      <alignment horizontal="center" vertical="center"/>
    </xf>
    <xf numFmtId="14" fontId="3" fillId="7" borderId="0" xfId="4" applyNumberFormat="1" applyFont="1" applyFill="1" applyBorder="1" applyAlignment="1" applyProtection="1">
      <alignment horizontal="center" vertical="center"/>
    </xf>
    <xf numFmtId="0" fontId="3" fillId="7" borderId="0" xfId="4" quotePrefix="1" applyFont="1" applyFill="1" applyBorder="1" applyAlignment="1">
      <alignment vertical="center"/>
    </xf>
    <xf numFmtId="49" fontId="3" fillId="7" borderId="0" xfId="4" applyNumberFormat="1" applyFont="1" applyFill="1" applyBorder="1" applyAlignment="1" applyProtection="1">
      <alignment horizontal="center" vertical="center"/>
    </xf>
    <xf numFmtId="3" fontId="3" fillId="7" borderId="0" xfId="4" quotePrefix="1" applyNumberFormat="1" applyFont="1" applyFill="1" applyBorder="1" applyAlignment="1">
      <alignment horizontal="right" vertical="center"/>
    </xf>
    <xf numFmtId="169" fontId="6" fillId="7" borderId="0" xfId="4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4" applyNumberFormat="1" applyFont="1" applyFill="1" applyBorder="1" applyAlignment="1" applyProtection="1">
      <alignment horizontal="right" vertical="center"/>
      <protection locked="0"/>
    </xf>
    <xf numFmtId="0" fontId="3" fillId="7" borderId="0" xfId="4" applyFont="1" applyFill="1" applyBorder="1" applyAlignment="1">
      <alignment horizontal="center" vertical="center"/>
    </xf>
    <xf numFmtId="0" fontId="3" fillId="7" borderId="0" xfId="4" applyFont="1" applyFill="1" applyBorder="1" applyAlignment="1">
      <alignment horizontal="center" vertical="center" wrapText="1"/>
    </xf>
    <xf numFmtId="0" fontId="3" fillId="7" borderId="0" xfId="4" applyFont="1" applyFill="1" applyBorder="1" applyAlignment="1">
      <alignment horizontal="center"/>
    </xf>
    <xf numFmtId="0" fontId="3" fillId="7" borderId="0" xfId="4" applyFont="1" applyFill="1" applyBorder="1" applyAlignment="1">
      <alignment horizontal="center" vertical="top"/>
    </xf>
    <xf numFmtId="0" fontId="3" fillId="7" borderId="0" xfId="4" applyFont="1" applyFill="1" applyBorder="1" applyAlignment="1">
      <alignment vertical="top" wrapText="1"/>
    </xf>
    <xf numFmtId="3" fontId="3" fillId="7" borderId="0" xfId="4" applyNumberFormat="1" applyFont="1" applyFill="1" applyBorder="1" applyAlignment="1">
      <alignment horizontal="center"/>
    </xf>
    <xf numFmtId="3" fontId="3" fillId="7" borderId="0" xfId="4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4" applyFont="1" applyFill="1" applyBorder="1"/>
    <xf numFmtId="0" fontId="3" fillId="7" borderId="0" xfId="4" applyFont="1" applyFill="1" applyBorder="1" applyAlignment="1">
      <alignment vertical="top"/>
    </xf>
    <xf numFmtId="3" fontId="3" fillId="7" borderId="0" xfId="4" applyNumberFormat="1" applyFont="1" applyFill="1" applyBorder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6" fillId="16" borderId="0" xfId="4" applyNumberFormat="1" applyFont="1" applyFill="1" applyAlignment="1">
      <alignment vertical="center"/>
    </xf>
    <xf numFmtId="0" fontId="162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Border="1" applyAlignment="1">
      <alignment vertical="center"/>
    </xf>
    <xf numFmtId="0" fontId="3" fillId="15" borderId="0" xfId="4" applyFont="1" applyFill="1" applyBorder="1" applyAlignment="1">
      <alignment vertical="center" wrapText="1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66" fontId="11" fillId="17" borderId="3" xfId="4" quotePrefix="1" applyNumberFormat="1" applyFont="1" applyFill="1" applyBorder="1" applyAlignment="1" applyProtection="1">
      <alignment horizontal="center" vertical="center"/>
    </xf>
    <xf numFmtId="166" fontId="163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3" fillId="15" borderId="0" xfId="4" applyFont="1" applyFill="1" applyAlignment="1">
      <alignment horizontal="left" vertical="center"/>
    </xf>
    <xf numFmtId="167" fontId="3" fillId="15" borderId="0" xfId="4" applyNumberFormat="1" applyFont="1" applyFill="1" applyAlignment="1">
      <alignment horizontal="center" vertical="center"/>
    </xf>
    <xf numFmtId="167" fontId="3" fillId="15" borderId="0" xfId="4" applyNumberFormat="1" applyFont="1" applyFill="1" applyAlignment="1">
      <alignment horizontal="left" vertical="center"/>
    </xf>
    <xf numFmtId="167" fontId="3" fillId="15" borderId="0" xfId="4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4" fillId="17" borderId="3" xfId="0" applyNumberFormat="1" applyFont="1" applyFill="1" applyBorder="1" applyAlignment="1" applyProtection="1">
      <alignment horizontal="center" vertical="center"/>
    </xf>
    <xf numFmtId="0" fontId="165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66" fillId="19" borderId="5" xfId="12" applyFont="1" applyFill="1" applyBorder="1" applyAlignment="1">
      <alignment horizontal="left" vertical="center" wrapText="1"/>
    </xf>
    <xf numFmtId="0" fontId="167" fillId="19" borderId="6" xfId="12" applyFont="1" applyFill="1" applyBorder="1" applyAlignment="1">
      <alignment horizontal="center" vertical="center" wrapText="1"/>
    </xf>
    <xf numFmtId="0" fontId="166" fillId="19" borderId="7" xfId="4" applyFont="1" applyFill="1" applyBorder="1" applyAlignment="1">
      <alignment horizontal="center" vertical="center" wrapText="1"/>
    </xf>
    <xf numFmtId="0" fontId="166" fillId="19" borderId="8" xfId="4" applyFont="1" applyFill="1" applyBorder="1" applyAlignment="1">
      <alignment horizontal="center" vertical="center"/>
    </xf>
    <xf numFmtId="0" fontId="166" fillId="19" borderId="3" xfId="4" applyFont="1" applyFill="1" applyBorder="1" applyAlignment="1">
      <alignment horizontal="center" vertical="center"/>
    </xf>
    <xf numFmtId="0" fontId="54" fillId="0" borderId="9" xfId="12" applyFont="1" applyFill="1" applyBorder="1" applyAlignment="1">
      <alignment horizontal="center" vertical="center" wrapText="1"/>
    </xf>
    <xf numFmtId="0" fontId="55" fillId="20" borderId="10" xfId="4" applyFont="1" applyFill="1" applyBorder="1" applyAlignment="1">
      <alignment horizontal="center" vertical="center" wrapText="1"/>
    </xf>
    <xf numFmtId="0" fontId="3" fillId="18" borderId="0" xfId="4" applyFont="1" applyFill="1" applyBorder="1" applyAlignment="1">
      <alignment vertical="center"/>
    </xf>
    <xf numFmtId="0" fontId="32" fillId="15" borderId="11" xfId="4" applyFont="1" applyFill="1" applyBorder="1" applyAlignment="1">
      <alignment vertical="center"/>
    </xf>
    <xf numFmtId="0" fontId="32" fillId="15" borderId="12" xfId="4" applyFont="1" applyFill="1" applyBorder="1" applyAlignment="1">
      <alignment horizontal="center" vertical="center"/>
    </xf>
    <xf numFmtId="0" fontId="168" fillId="15" borderId="13" xfId="4" applyFont="1" applyFill="1" applyBorder="1" applyAlignment="1">
      <alignment horizontal="left" vertical="center" wrapText="1"/>
    </xf>
    <xf numFmtId="3" fontId="55" fillId="15" borderId="10" xfId="4" quotePrefix="1" applyNumberFormat="1" applyFont="1" applyFill="1" applyBorder="1" applyAlignment="1">
      <alignment horizontal="center" vertical="center"/>
    </xf>
    <xf numFmtId="3" fontId="56" fillId="15" borderId="14" xfId="4" quotePrefix="1" applyNumberFormat="1" applyFont="1" applyFill="1" applyBorder="1" applyAlignment="1">
      <alignment horizontal="center" vertical="center"/>
    </xf>
    <xf numFmtId="3" fontId="56" fillId="15" borderId="15" xfId="4" quotePrefix="1" applyNumberFormat="1" applyFont="1" applyFill="1" applyBorder="1" applyAlignment="1" applyProtection="1">
      <alignment horizontal="center" vertical="center"/>
    </xf>
    <xf numFmtId="3" fontId="57" fillId="15" borderId="13" xfId="4" quotePrefix="1" applyNumberFormat="1" applyFont="1" applyFill="1" applyBorder="1" applyAlignment="1" applyProtection="1">
      <alignment horizontal="center" vertical="center"/>
    </xf>
    <xf numFmtId="168" fontId="58" fillId="8" borderId="11" xfId="12" quotePrefix="1" applyNumberFormat="1" applyFont="1" applyFill="1" applyBorder="1" applyAlignment="1" applyProtection="1">
      <alignment horizontal="right" vertical="center"/>
    </xf>
    <xf numFmtId="0" fontId="58" fillId="8" borderId="16" xfId="12" quotePrefix="1" applyFont="1" applyFill="1" applyBorder="1" applyAlignment="1" applyProtection="1">
      <alignment horizontal="left" vertical="center"/>
    </xf>
    <xf numFmtId="3" fontId="169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68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74" fontId="170" fillId="21" borderId="21" xfId="4" applyNumberFormat="1" applyFont="1" applyFill="1" applyBorder="1" applyAlignment="1" applyProtection="1">
      <alignment horizontal="center" vertical="center"/>
    </xf>
    <xf numFmtId="0" fontId="11" fillId="18" borderId="0" xfId="4" applyFont="1" applyFill="1" applyAlignment="1">
      <alignment vertical="center"/>
    </xf>
    <xf numFmtId="168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74" fontId="170" fillId="21" borderId="25" xfId="4" applyNumberFormat="1" applyFont="1" applyFill="1" applyBorder="1" applyAlignment="1" applyProtection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68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74" fontId="170" fillId="21" borderId="30" xfId="4" applyNumberFormat="1" applyFont="1" applyFill="1" applyBorder="1" applyAlignment="1" applyProtection="1">
      <alignment horizontal="center" vertical="center"/>
    </xf>
    <xf numFmtId="168" fontId="58" fillId="8" borderId="31" xfId="12" quotePrefix="1" applyNumberFormat="1" applyFont="1" applyFill="1" applyBorder="1" applyAlignment="1" applyProtection="1">
      <alignment horizontal="right" vertical="center"/>
    </xf>
    <xf numFmtId="3" fontId="169" fillId="17" borderId="8" xfId="4" applyNumberFormat="1" applyFont="1" applyFill="1" applyBorder="1" applyAlignment="1">
      <alignment horizontal="right" vertical="center"/>
    </xf>
    <xf numFmtId="3" fontId="169" fillId="17" borderId="3" xfId="4" applyNumberFormat="1" applyFont="1" applyFill="1" applyBorder="1" applyAlignment="1" applyProtection="1">
      <alignment horizontal="right" vertical="center"/>
    </xf>
    <xf numFmtId="3" fontId="169" fillId="17" borderId="9" xfId="4" applyNumberFormat="1" applyFont="1" applyFill="1" applyBorder="1" applyAlignment="1" applyProtection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74" fontId="170" fillId="21" borderId="35" xfId="4" applyNumberFormat="1" applyFont="1" applyFill="1" applyBorder="1" applyAlignment="1" applyProtection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68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68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58" fillId="8" borderId="4" xfId="12" quotePrefix="1" applyFont="1" applyFill="1" applyBorder="1" applyAlignment="1" applyProtection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69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71" fillId="19" borderId="40" xfId="12" quotePrefix="1" applyFont="1" applyFill="1" applyBorder="1" applyAlignment="1" applyProtection="1">
      <alignment horizontal="right" vertical="center"/>
    </xf>
    <xf numFmtId="0" fontId="165" fillId="19" borderId="41" xfId="12" applyFont="1" applyFill="1" applyBorder="1" applyAlignment="1" applyProtection="1">
      <alignment horizontal="right" vertical="center"/>
    </xf>
    <xf numFmtId="0" fontId="166" fillId="19" borderId="42" xfId="4" applyFont="1" applyFill="1" applyBorder="1" applyAlignment="1" applyProtection="1">
      <alignment horizontal="center" vertical="center" wrapText="1"/>
    </xf>
    <xf numFmtId="3" fontId="11" fillId="19" borderId="43" xfId="4" applyNumberFormat="1" applyFont="1" applyFill="1" applyBorder="1" applyAlignment="1" applyProtection="1">
      <alignment horizontal="right" vertical="center"/>
    </xf>
    <xf numFmtId="3" fontId="12" fillId="19" borderId="44" xfId="4" applyNumberFormat="1" applyFont="1" applyFill="1" applyBorder="1" applyAlignment="1" applyProtection="1">
      <alignment horizontal="right" vertical="center"/>
    </xf>
    <xf numFmtId="3" fontId="12" fillId="19" borderId="45" xfId="4" applyNumberFormat="1" applyFont="1" applyFill="1" applyBorder="1" applyAlignment="1" applyProtection="1">
      <alignment horizontal="right" vertical="center"/>
    </xf>
    <xf numFmtId="3" fontId="12" fillId="19" borderId="46" xfId="4" applyNumberFormat="1" applyFont="1" applyFill="1" applyBorder="1" applyAlignment="1" applyProtection="1">
      <alignment horizontal="right" vertical="center"/>
    </xf>
    <xf numFmtId="0" fontId="6" fillId="15" borderId="0" xfId="12" quotePrefix="1" applyFont="1" applyFill="1" applyBorder="1" applyAlignment="1" applyProtection="1">
      <alignment horizontal="right" vertical="center"/>
    </xf>
    <xf numFmtId="168" fontId="9" fillId="15" borderId="0" xfId="12" quotePrefix="1" applyNumberFormat="1" applyFont="1" applyFill="1" applyBorder="1" applyAlignment="1" applyProtection="1">
      <alignment horizontal="center" vertical="center"/>
    </xf>
    <xf numFmtId="0" fontId="3" fillId="15" borderId="0" xfId="12" applyFont="1" applyFill="1" applyBorder="1" applyAlignment="1" applyProtection="1">
      <alignment horizontal="left" vertical="center" wrapText="1"/>
    </xf>
    <xf numFmtId="3" fontId="6" fillId="15" borderId="0" xfId="4" applyNumberFormat="1" applyFont="1" applyFill="1" applyBorder="1" applyAlignment="1" applyProtection="1">
      <alignment horizontal="right" vertical="center"/>
    </xf>
    <xf numFmtId="3" fontId="3" fillId="15" borderId="0" xfId="4" applyNumberFormat="1" applyFont="1" applyFill="1" applyBorder="1" applyAlignment="1" applyProtection="1">
      <alignment horizontal="right" vertical="center"/>
    </xf>
    <xf numFmtId="0" fontId="3" fillId="18" borderId="0" xfId="4" applyFont="1" applyFill="1" applyAlignment="1" applyProtection="1">
      <alignment vertical="center"/>
    </xf>
    <xf numFmtId="0" fontId="3" fillId="18" borderId="0" xfId="4" applyFont="1" applyFill="1" applyAlignment="1" applyProtection="1">
      <alignment vertical="center" wrapText="1"/>
    </xf>
    <xf numFmtId="3" fontId="6" fillId="18" borderId="0" xfId="4" applyNumberFormat="1" applyFont="1" applyFill="1" applyAlignment="1" applyProtection="1">
      <alignment horizontal="right" vertical="center"/>
    </xf>
    <xf numFmtId="3" fontId="3" fillId="18" borderId="0" xfId="4" applyNumberFormat="1" applyFont="1" applyFill="1" applyAlignment="1" applyProtection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172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66" fontId="163" fillId="17" borderId="4" xfId="4" applyNumberFormat="1" applyFont="1" applyFill="1" applyBorder="1" applyAlignment="1" applyProtection="1">
      <alignment horizontal="center" vertical="center"/>
    </xf>
    <xf numFmtId="0" fontId="3" fillId="15" borderId="0" xfId="4" quotePrefix="1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 wrapText="1"/>
    </xf>
    <xf numFmtId="0" fontId="3" fillId="15" borderId="0" xfId="4" applyFont="1" applyFill="1" applyAlignment="1" applyProtection="1">
      <alignment horizontal="center" vertical="center"/>
    </xf>
    <xf numFmtId="0" fontId="11" fillId="0" borderId="0" xfId="4" applyFont="1" applyAlignment="1" applyProtection="1">
      <alignment horizontal="center" vertical="center"/>
    </xf>
    <xf numFmtId="172" fontId="164" fillId="19" borderId="3" xfId="4" applyNumberFormat="1" applyFont="1" applyFill="1" applyBorder="1" applyAlignment="1" applyProtection="1">
      <alignment horizontal="center" vertical="center"/>
    </xf>
    <xf numFmtId="0" fontId="11" fillId="15" borderId="0" xfId="4" quotePrefix="1" applyFont="1" applyFill="1" applyAlignment="1" applyProtection="1">
      <alignment vertical="center"/>
    </xf>
    <xf numFmtId="0" fontId="53" fillId="15" borderId="0" xfId="4" applyFont="1" applyFill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/>
    </xf>
    <xf numFmtId="0" fontId="6" fillId="0" borderId="0" xfId="12" quotePrefix="1" applyFont="1" applyFill="1" applyBorder="1" applyAlignment="1" applyProtection="1">
      <alignment horizontal="right" vertical="center"/>
    </xf>
    <xf numFmtId="3" fontId="3" fillId="15" borderId="0" xfId="4" applyNumberFormat="1" applyFont="1" applyFill="1" applyAlignment="1" applyProtection="1">
      <alignment horizontal="right" vertical="center"/>
    </xf>
    <xf numFmtId="49" fontId="164" fillId="17" borderId="3" xfId="0" applyNumberFormat="1" applyFont="1" applyFill="1" applyBorder="1" applyAlignment="1" applyProtection="1">
      <alignment horizontal="center" vertical="center"/>
    </xf>
    <xf numFmtId="3" fontId="3" fillId="15" borderId="0" xfId="4" applyNumberFormat="1" applyFont="1" applyFill="1" applyBorder="1" applyAlignment="1" applyProtection="1">
      <alignment horizontal="right" vertical="center"/>
      <protection locked="0"/>
    </xf>
    <xf numFmtId="0" fontId="3" fillId="15" borderId="47" xfId="4" applyFont="1" applyFill="1" applyBorder="1" applyAlignment="1" applyProtection="1">
      <alignment vertical="center"/>
    </xf>
    <xf numFmtId="0" fontId="3" fillId="15" borderId="47" xfId="4" applyFont="1" applyFill="1" applyBorder="1" applyAlignment="1" applyProtection="1">
      <alignment vertical="center" wrapText="1"/>
    </xf>
    <xf numFmtId="3" fontId="6" fillId="15" borderId="0" xfId="4" applyNumberFormat="1" applyFont="1" applyFill="1" applyAlignment="1" applyProtection="1">
      <alignment horizontal="right" vertical="center"/>
    </xf>
    <xf numFmtId="0" fontId="6" fillId="15" borderId="0" xfId="4" quotePrefix="1" applyFont="1" applyFill="1" applyAlignment="1" applyProtection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3" fontId="11" fillId="15" borderId="0" xfId="4" quotePrefix="1" applyNumberFormat="1" applyFont="1" applyFill="1" applyAlignment="1">
      <alignment horizontal="right" vertical="center"/>
    </xf>
    <xf numFmtId="0" fontId="173" fillId="23" borderId="5" xfId="4" applyFont="1" applyFill="1" applyBorder="1" applyAlignment="1" applyProtection="1">
      <alignment vertical="center"/>
    </xf>
    <xf numFmtId="0" fontId="173" fillId="23" borderId="6" xfId="4" applyFont="1" applyFill="1" applyBorder="1" applyAlignment="1" applyProtection="1">
      <alignment horizontal="center" vertical="center"/>
    </xf>
    <xf numFmtId="0" fontId="174" fillId="23" borderId="7" xfId="4" applyFont="1" applyFill="1" applyBorder="1" applyAlignment="1" applyProtection="1">
      <alignment horizontal="center" vertical="center" wrapText="1"/>
    </xf>
    <xf numFmtId="0" fontId="175" fillId="23" borderId="11" xfId="4" applyFont="1" applyFill="1" applyBorder="1" applyAlignment="1" applyProtection="1">
      <alignment horizontal="center" vertical="center"/>
    </xf>
    <xf numFmtId="0" fontId="175" fillId="23" borderId="15" xfId="4" applyFont="1" applyFill="1" applyBorder="1" applyAlignment="1" applyProtection="1">
      <alignment horizontal="center" vertical="center"/>
    </xf>
    <xf numFmtId="0" fontId="14" fillId="0" borderId="48" xfId="12" applyFont="1" applyFill="1" applyBorder="1" applyAlignment="1" applyProtection="1">
      <alignment horizontal="center" vertical="center" wrapText="1"/>
    </xf>
    <xf numFmtId="1" fontId="176" fillId="24" borderId="8" xfId="4" applyNumberFormat="1" applyFont="1" applyFill="1" applyBorder="1" applyAlignment="1" applyProtection="1">
      <alignment horizontal="center" vertical="center" wrapText="1"/>
    </xf>
    <xf numFmtId="1" fontId="176" fillId="24" borderId="3" xfId="4" applyNumberFormat="1" applyFont="1" applyFill="1" applyBorder="1" applyAlignment="1" applyProtection="1">
      <alignment horizontal="center" vertical="center" wrapText="1"/>
    </xf>
    <xf numFmtId="1" fontId="176" fillId="24" borderId="9" xfId="4" applyNumberFormat="1" applyFont="1" applyFill="1" applyBorder="1" applyAlignment="1" applyProtection="1">
      <alignment horizontal="center" vertical="center" wrapText="1"/>
    </xf>
    <xf numFmtId="0" fontId="177" fillId="23" borderId="10" xfId="4" applyFont="1" applyFill="1" applyBorder="1" applyAlignment="1" applyProtection="1">
      <alignment horizontal="center" vertical="center" wrapText="1"/>
    </xf>
    <xf numFmtId="0" fontId="59" fillId="22" borderId="0" xfId="4" applyFont="1" applyFill="1" applyAlignment="1">
      <alignment horizontal="left" vertical="center"/>
    </xf>
    <xf numFmtId="0" fontId="3" fillId="15" borderId="49" xfId="4" applyFont="1" applyFill="1" applyBorder="1" applyAlignment="1" applyProtection="1">
      <alignment horizontal="left" vertical="center"/>
    </xf>
    <xf numFmtId="0" fontId="3" fillId="15" borderId="50" xfId="4" applyFont="1" applyFill="1" applyBorder="1" applyAlignment="1" applyProtection="1">
      <alignment horizontal="center" vertical="center"/>
    </xf>
    <xf numFmtId="0" fontId="178" fillId="15" borderId="9" xfId="4" applyFont="1" applyFill="1" applyBorder="1" applyAlignment="1" applyProtection="1">
      <alignment horizontal="left" vertical="center" wrapText="1"/>
    </xf>
    <xf numFmtId="3" fontId="42" fillId="15" borderId="8" xfId="4" quotePrefix="1" applyNumberFormat="1" applyFont="1" applyFill="1" applyBorder="1" applyAlignment="1" applyProtection="1">
      <alignment horizontal="center" vertical="center"/>
    </xf>
    <xf numFmtId="3" fontId="42" fillId="15" borderId="3" xfId="4" quotePrefix="1" applyNumberFormat="1" applyFont="1" applyFill="1" applyBorder="1" applyAlignment="1" applyProtection="1">
      <alignment horizontal="center" vertical="center"/>
    </xf>
    <xf numFmtId="3" fontId="42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10" xfId="4" quotePrefix="1" applyNumberFormat="1" applyFont="1" applyFill="1" applyBorder="1" applyAlignment="1" applyProtection="1">
      <alignment horizontal="center" vertical="center"/>
    </xf>
    <xf numFmtId="0" fontId="3" fillId="15" borderId="17" xfId="4" applyFont="1" applyFill="1" applyBorder="1" applyAlignment="1" applyProtection="1">
      <alignment horizontal="center" vertical="center" wrapText="1"/>
    </xf>
    <xf numFmtId="0" fontId="3" fillId="15" borderId="0" xfId="4" applyFont="1" applyFill="1" applyBorder="1" applyAlignment="1" applyProtection="1">
      <alignment horizontal="center" vertical="center" wrapText="1"/>
    </xf>
    <xf numFmtId="0" fontId="3" fillId="15" borderId="50" xfId="4" applyFont="1" applyFill="1" applyBorder="1" applyAlignment="1" applyProtection="1">
      <alignment horizontal="center" vertical="center" wrapText="1"/>
    </xf>
    <xf numFmtId="3" fontId="6" fillId="15" borderId="50" xfId="4" applyNumberFormat="1" applyFont="1" applyFill="1" applyBorder="1" applyAlignment="1" applyProtection="1">
      <alignment horizontal="right" vertical="center"/>
    </xf>
    <xf numFmtId="3" fontId="3" fillId="15" borderId="50" xfId="4" applyNumberFormat="1" applyFont="1" applyFill="1" applyBorder="1" applyAlignment="1" applyProtection="1">
      <alignment horizontal="right" vertical="center"/>
    </xf>
    <xf numFmtId="3" fontId="3" fillId="15" borderId="51" xfId="4" applyNumberFormat="1" applyFont="1" applyFill="1" applyBorder="1" applyAlignment="1" applyProtection="1">
      <alignment horizontal="right" vertical="center"/>
    </xf>
    <xf numFmtId="3" fontId="6" fillId="15" borderId="52" xfId="4" applyNumberFormat="1" applyFont="1" applyFill="1" applyBorder="1" applyAlignment="1" applyProtection="1">
      <alignment horizontal="right" vertical="center"/>
    </xf>
    <xf numFmtId="168" fontId="179" fillId="24" borderId="31" xfId="12" quotePrefix="1" applyNumberFormat="1" applyFont="1" applyFill="1" applyBorder="1" applyAlignment="1" applyProtection="1">
      <alignment horizontal="right" vertical="center"/>
    </xf>
    <xf numFmtId="3" fontId="176" fillId="24" borderId="52" xfId="4" applyNumberFormat="1" applyFont="1" applyFill="1" applyBorder="1" applyAlignment="1" applyProtection="1">
      <alignment horizontal="right" vertical="center"/>
    </xf>
    <xf numFmtId="3" fontId="178" fillId="24" borderId="8" xfId="4" applyNumberFormat="1" applyFont="1" applyFill="1" applyBorder="1" applyAlignment="1" applyProtection="1">
      <alignment horizontal="right" vertical="center"/>
    </xf>
    <xf numFmtId="3" fontId="178" fillId="24" borderId="3" xfId="4" applyNumberFormat="1" applyFont="1" applyFill="1" applyBorder="1" applyAlignment="1" applyProtection="1">
      <alignment horizontal="right" vertical="center"/>
    </xf>
    <xf numFmtId="3" fontId="178" fillId="24" borderId="9" xfId="4" applyNumberFormat="1" applyFont="1" applyFill="1" applyBorder="1" applyAlignment="1" applyProtection="1">
      <alignment horizontal="right" vertical="center"/>
    </xf>
    <xf numFmtId="0" fontId="180" fillId="22" borderId="0" xfId="4" applyFont="1" applyFill="1" applyAlignment="1">
      <alignment horizontal="left" vertical="center"/>
    </xf>
    <xf numFmtId="0" fontId="3" fillId="15" borderId="17" xfId="12" applyFont="1" applyFill="1" applyBorder="1" applyAlignment="1" applyProtection="1">
      <alignment horizontal="right" vertical="center"/>
    </xf>
    <xf numFmtId="168" fontId="9" fillId="15" borderId="18" xfId="12" quotePrefix="1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horizontal="left" vertical="center" wrapText="1"/>
    </xf>
    <xf numFmtId="3" fontId="6" fillId="15" borderId="53" xfId="4" applyNumberFormat="1" applyFont="1" applyFill="1" applyBorder="1" applyAlignment="1" applyProtection="1">
      <alignment horizontal="right" vertical="center"/>
    </xf>
    <xf numFmtId="3" fontId="12" fillId="15" borderId="20" xfId="4" applyNumberFormat="1" applyFont="1" applyFill="1" applyBorder="1" applyAlignment="1" applyProtection="1">
      <alignment horizontal="right" vertical="center"/>
    </xf>
    <xf numFmtId="3" fontId="12" fillId="15" borderId="18" xfId="4" applyNumberFormat="1" applyFont="1" applyFill="1" applyBorder="1" applyAlignment="1" applyProtection="1">
      <alignment horizontal="right" vertical="center"/>
    </xf>
    <xf numFmtId="3" fontId="12" fillId="15" borderId="21" xfId="4" applyNumberFormat="1" applyFont="1" applyFill="1" applyBorder="1" applyAlignment="1" applyProtection="1">
      <alignment horizontal="right" vertical="center"/>
    </xf>
    <xf numFmtId="168" fontId="9" fillId="15" borderId="34" xfId="12" quotePrefix="1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horizontal="left" vertical="center" wrapText="1"/>
    </xf>
    <xf numFmtId="3" fontId="6" fillId="15" borderId="54" xfId="4" applyNumberFormat="1" applyFont="1" applyFill="1" applyBorder="1" applyAlignment="1" applyProtection="1">
      <alignment horizontal="right" vertical="center"/>
    </xf>
    <xf numFmtId="3" fontId="12" fillId="15" borderId="33" xfId="4" applyNumberFormat="1" applyFont="1" applyFill="1" applyBorder="1" applyAlignment="1" applyProtection="1">
      <alignment horizontal="right" vertical="center"/>
    </xf>
    <xf numFmtId="3" fontId="12" fillId="15" borderId="34" xfId="4" applyNumberFormat="1" applyFont="1" applyFill="1" applyBorder="1" applyAlignment="1" applyProtection="1">
      <alignment horizontal="right" vertical="center"/>
    </xf>
    <xf numFmtId="3" fontId="12" fillId="15" borderId="35" xfId="4" applyNumberFormat="1" applyFont="1" applyFill="1" applyBorder="1" applyAlignment="1" applyProtection="1">
      <alignment horizontal="right" vertical="center"/>
    </xf>
    <xf numFmtId="168" fontId="6" fillId="15" borderId="17" xfId="12" quotePrefix="1" applyNumberFormat="1" applyFont="1" applyFill="1" applyBorder="1" applyAlignment="1" applyProtection="1">
      <alignment horizontal="right" vertical="center"/>
    </xf>
    <xf numFmtId="0" fontId="6" fillId="15" borderId="17" xfId="12" quotePrefix="1" applyFont="1" applyFill="1" applyBorder="1" applyAlignment="1" applyProtection="1">
      <alignment horizontal="right" vertical="center"/>
    </xf>
    <xf numFmtId="168" fontId="9" fillId="15" borderId="22" xfId="12" quotePrefix="1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vertical="center" wrapText="1"/>
    </xf>
    <xf numFmtId="3" fontId="6" fillId="15" borderId="55" xfId="4" applyNumberFormat="1" applyFont="1" applyFill="1" applyBorder="1" applyAlignment="1" applyProtection="1">
      <alignment horizontal="right" vertical="center"/>
    </xf>
    <xf numFmtId="3" fontId="12" fillId="15" borderId="24" xfId="4" applyNumberFormat="1" applyFont="1" applyFill="1" applyBorder="1" applyAlignment="1" applyProtection="1">
      <alignment horizontal="right" vertical="center"/>
    </xf>
    <xf numFmtId="3" fontId="12" fillId="15" borderId="22" xfId="4" applyNumberFormat="1" applyFont="1" applyFill="1" applyBorder="1" applyAlignment="1" applyProtection="1">
      <alignment horizontal="right" vertical="center"/>
    </xf>
    <xf numFmtId="3" fontId="12" fillId="15" borderId="25" xfId="4" applyNumberFormat="1" applyFont="1" applyFill="1" applyBorder="1" applyAlignment="1" applyProtection="1">
      <alignment horizontal="right" vertical="center"/>
    </xf>
    <xf numFmtId="0" fontId="6" fillId="15" borderId="17" xfId="12" applyFont="1" applyFill="1" applyBorder="1" applyAlignment="1" applyProtection="1">
      <alignment horizontal="right" vertical="center"/>
    </xf>
    <xf numFmtId="0" fontId="8" fillId="15" borderId="23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vertical="center" wrapText="1"/>
    </xf>
    <xf numFmtId="168" fontId="15" fillId="15" borderId="18" xfId="12" quotePrefix="1" applyNumberFormat="1" applyFont="1" applyFill="1" applyBorder="1" applyAlignment="1" applyProtection="1">
      <alignment horizontal="right"/>
    </xf>
    <xf numFmtId="0" fontId="16" fillId="15" borderId="19" xfId="12" applyFont="1" applyFill="1" applyBorder="1" applyAlignment="1" applyProtection="1">
      <alignment wrapText="1"/>
    </xf>
    <xf numFmtId="168" fontId="15" fillId="15" borderId="22" xfId="12" quotePrefix="1" applyNumberFormat="1" applyFont="1" applyFill="1" applyBorder="1" applyAlignment="1" applyProtection="1">
      <alignment horizontal="right"/>
    </xf>
    <xf numFmtId="0" fontId="16" fillId="15" borderId="23" xfId="12" applyFont="1" applyFill="1" applyBorder="1" applyAlignment="1" applyProtection="1">
      <alignment wrapText="1"/>
    </xf>
    <xf numFmtId="168" fontId="6" fillId="15" borderId="56" xfId="12" quotePrefix="1" applyNumberFormat="1" applyFont="1" applyFill="1" applyBorder="1" applyAlignment="1" applyProtection="1">
      <alignment horizontal="right" vertical="center"/>
    </xf>
    <xf numFmtId="0" fontId="17" fillId="15" borderId="23" xfId="12" applyFont="1" applyFill="1" applyBorder="1" applyAlignment="1" applyProtection="1">
      <alignment wrapText="1"/>
    </xf>
    <xf numFmtId="168" fontId="15" fillId="15" borderId="34" xfId="12" quotePrefix="1" applyNumberFormat="1" applyFont="1" applyFill="1" applyBorder="1" applyAlignment="1" applyProtection="1">
      <alignment horizontal="right" vertical="center"/>
    </xf>
    <xf numFmtId="0" fontId="16" fillId="15" borderId="32" xfId="12" applyFont="1" applyFill="1" applyBorder="1" applyAlignment="1" applyProtection="1">
      <alignment wrapText="1"/>
    </xf>
    <xf numFmtId="3" fontId="179" fillId="24" borderId="52" xfId="4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vertical="center" wrapText="1"/>
    </xf>
    <xf numFmtId="168" fontId="9" fillId="15" borderId="27" xfId="12" quotePrefix="1" applyNumberFormat="1" applyFont="1" applyFill="1" applyBorder="1" applyAlignment="1" applyProtection="1">
      <alignment horizontal="right" vertical="center"/>
    </xf>
    <xf numFmtId="0" fontId="3" fillId="15" borderId="38" xfId="12" applyFont="1" applyFill="1" applyBorder="1" applyAlignment="1" applyProtection="1">
      <alignment vertical="center" wrapText="1"/>
    </xf>
    <xf numFmtId="3" fontId="6" fillId="15" borderId="57" xfId="4" applyNumberFormat="1" applyFont="1" applyFill="1" applyBorder="1" applyAlignment="1" applyProtection="1">
      <alignment horizontal="right" vertical="center"/>
    </xf>
    <xf numFmtId="3" fontId="12" fillId="15" borderId="29" xfId="4" applyNumberFormat="1" applyFont="1" applyFill="1" applyBorder="1" applyAlignment="1" applyProtection="1">
      <alignment horizontal="right" vertical="center"/>
    </xf>
    <xf numFmtId="3" fontId="12" fillId="15" borderId="27" xfId="4" applyNumberFormat="1" applyFont="1" applyFill="1" applyBorder="1" applyAlignment="1" applyProtection="1">
      <alignment horizontal="right" vertical="center"/>
    </xf>
    <xf numFmtId="3" fontId="12" fillId="15" borderId="30" xfId="4" applyNumberFormat="1" applyFont="1" applyFill="1" applyBorder="1" applyAlignment="1" applyProtection="1">
      <alignment horizontal="right" vertical="center"/>
    </xf>
    <xf numFmtId="168" fontId="9" fillId="15" borderId="58" xfId="12" quotePrefix="1" applyNumberFormat="1" applyFont="1" applyFill="1" applyBorder="1" applyAlignment="1" applyProtection="1">
      <alignment horizontal="right" vertical="center"/>
    </xf>
    <xf numFmtId="0" fontId="3" fillId="15" borderId="59" xfId="12" applyFont="1" applyFill="1" applyBorder="1" applyAlignment="1" applyProtection="1">
      <alignment horizontal="left" vertical="center" wrapText="1"/>
    </xf>
    <xf numFmtId="3" fontId="6" fillId="15" borderId="60" xfId="4" applyNumberFormat="1" applyFont="1" applyFill="1" applyBorder="1" applyAlignment="1" applyProtection="1">
      <alignment horizontal="right" vertical="center"/>
    </xf>
    <xf numFmtId="3" fontId="12" fillId="15" borderId="61" xfId="4" applyNumberFormat="1" applyFont="1" applyFill="1" applyBorder="1" applyAlignment="1" applyProtection="1">
      <alignment horizontal="right" vertical="center"/>
    </xf>
    <xf numFmtId="3" fontId="12" fillId="15" borderId="58" xfId="4" applyNumberFormat="1" applyFont="1" applyFill="1" applyBorder="1" applyAlignment="1" applyProtection="1">
      <alignment horizontal="right" vertical="center"/>
    </xf>
    <xf numFmtId="3" fontId="12" fillId="15" borderId="62" xfId="4" applyNumberFormat="1" applyFont="1" applyFill="1" applyBorder="1" applyAlignment="1" applyProtection="1">
      <alignment horizontal="right" vertical="center"/>
    </xf>
    <xf numFmtId="168" fontId="9" fillId="15" borderId="63" xfId="12" quotePrefix="1" applyNumberFormat="1" applyFont="1" applyFill="1" applyBorder="1" applyAlignment="1" applyProtection="1">
      <alignment horizontal="right" vertical="center"/>
    </xf>
    <xf numFmtId="0" fontId="3" fillId="15" borderId="64" xfId="12" applyFont="1" applyFill="1" applyBorder="1" applyAlignment="1" applyProtection="1">
      <alignment vertical="center" wrapText="1"/>
    </xf>
    <xf numFmtId="3" fontId="6" fillId="15" borderId="65" xfId="4" applyNumberFormat="1" applyFont="1" applyFill="1" applyBorder="1" applyAlignment="1" applyProtection="1">
      <alignment horizontal="right" vertical="center"/>
    </xf>
    <xf numFmtId="3" fontId="12" fillId="15" borderId="66" xfId="4" applyNumberFormat="1" applyFont="1" applyFill="1" applyBorder="1" applyAlignment="1" applyProtection="1">
      <alignment horizontal="right" vertical="center"/>
    </xf>
    <xf numFmtId="3" fontId="12" fillId="15" borderId="63" xfId="4" applyNumberFormat="1" applyFont="1" applyFill="1" applyBorder="1" applyAlignment="1" applyProtection="1">
      <alignment horizontal="right" vertical="center"/>
    </xf>
    <xf numFmtId="3" fontId="12" fillId="15" borderId="67" xfId="4" applyNumberFormat="1" applyFont="1" applyFill="1" applyBorder="1" applyAlignment="1" applyProtection="1">
      <alignment horizontal="right" vertical="center"/>
    </xf>
    <xf numFmtId="0" fontId="60" fillId="22" borderId="0" xfId="4" applyFont="1" applyFill="1" applyAlignment="1">
      <alignment horizontal="left" vertical="center"/>
    </xf>
    <xf numFmtId="0" fontId="3" fillId="15" borderId="59" xfId="12" applyFont="1" applyFill="1" applyBorder="1" applyAlignment="1" applyProtection="1">
      <alignment vertical="center" wrapText="1"/>
    </xf>
    <xf numFmtId="0" fontId="8" fillId="15" borderId="64" xfId="12" applyFont="1" applyFill="1" applyBorder="1" applyAlignment="1" applyProtection="1">
      <alignment horizontal="left" vertical="center" wrapText="1"/>
    </xf>
    <xf numFmtId="168" fontId="9" fillId="15" borderId="68" xfId="12" quotePrefix="1" applyNumberFormat="1" applyFont="1" applyFill="1" applyBorder="1" applyAlignment="1" applyProtection="1">
      <alignment horizontal="right" vertical="center"/>
    </xf>
    <xf numFmtId="0" fontId="8" fillId="15" borderId="69" xfId="12" applyFont="1" applyFill="1" applyBorder="1" applyAlignment="1" applyProtection="1">
      <alignment horizontal="left" vertical="center" wrapText="1"/>
    </xf>
    <xf numFmtId="3" fontId="6" fillId="15" borderId="70" xfId="4" applyNumberFormat="1" applyFont="1" applyFill="1" applyBorder="1" applyAlignment="1" applyProtection="1">
      <alignment horizontal="right" vertical="center"/>
    </xf>
    <xf numFmtId="3" fontId="12" fillId="15" borderId="71" xfId="4" applyNumberFormat="1" applyFont="1" applyFill="1" applyBorder="1" applyAlignment="1" applyProtection="1">
      <alignment horizontal="right" vertical="center"/>
    </xf>
    <xf numFmtId="3" fontId="12" fillId="15" borderId="68" xfId="4" applyNumberFormat="1" applyFont="1" applyFill="1" applyBorder="1" applyAlignment="1" applyProtection="1">
      <alignment horizontal="right" vertical="center"/>
    </xf>
    <xf numFmtId="3" fontId="12" fillId="15" borderId="72" xfId="4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vertical="center" wrapText="1"/>
    </xf>
    <xf numFmtId="0" fontId="13" fillId="15" borderId="19" xfId="12" applyFont="1" applyFill="1" applyBorder="1" applyAlignment="1" applyProtection="1">
      <alignment horizontal="left" vertical="center" wrapText="1"/>
    </xf>
    <xf numFmtId="0" fontId="6" fillId="15" borderId="17" xfId="12" quotePrefix="1" applyFont="1" applyFill="1" applyBorder="1" applyAlignment="1" applyProtection="1">
      <alignment horizontal="center" vertical="center"/>
    </xf>
    <xf numFmtId="0" fontId="13" fillId="15" borderId="23" xfId="12" applyFont="1" applyFill="1" applyBorder="1" applyAlignment="1" applyProtection="1">
      <alignment horizontal="left" vertical="center" wrapText="1"/>
    </xf>
    <xf numFmtId="0" fontId="13" fillId="15" borderId="32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horizontal="left" vertical="center" wrapText="1"/>
    </xf>
    <xf numFmtId="0" fontId="6" fillId="15" borderId="17" xfId="12" applyFont="1" applyFill="1" applyBorder="1" applyAlignment="1" applyProtection="1">
      <alignment horizontal="center" vertical="center"/>
    </xf>
    <xf numFmtId="0" fontId="8" fillId="15" borderId="19" xfId="4" applyFont="1" applyFill="1" applyBorder="1" applyAlignment="1" applyProtection="1">
      <alignment vertical="center" wrapText="1"/>
    </xf>
    <xf numFmtId="0" fontId="8" fillId="15" borderId="64" xfId="4" applyFont="1" applyFill="1" applyBorder="1" applyAlignment="1" applyProtection="1">
      <alignment vertical="center" wrapText="1"/>
    </xf>
    <xf numFmtId="168" fontId="9" fillId="15" borderId="1" xfId="12" quotePrefix="1" applyNumberFormat="1" applyFont="1" applyFill="1" applyBorder="1" applyAlignment="1" applyProtection="1">
      <alignment horizontal="right" vertical="center"/>
    </xf>
    <xf numFmtId="0" fontId="8" fillId="15" borderId="0" xfId="4" applyFont="1" applyFill="1" applyBorder="1" applyAlignment="1" applyProtection="1">
      <alignment vertical="center" wrapText="1"/>
    </xf>
    <xf numFmtId="3" fontId="6" fillId="15" borderId="73" xfId="4" applyNumberFormat="1" applyFont="1" applyFill="1" applyBorder="1" applyAlignment="1" applyProtection="1">
      <alignment horizontal="right" vertical="center"/>
    </xf>
    <xf numFmtId="3" fontId="12" fillId="15" borderId="56" xfId="4" applyNumberFormat="1" applyFont="1" applyFill="1" applyBorder="1" applyAlignment="1" applyProtection="1">
      <alignment horizontal="right" vertical="center"/>
    </xf>
    <xf numFmtId="3" fontId="12" fillId="15" borderId="1" xfId="4" applyNumberFormat="1" applyFont="1" applyFill="1" applyBorder="1" applyAlignment="1" applyProtection="1">
      <alignment horizontal="right" vertical="center"/>
    </xf>
    <xf numFmtId="3" fontId="12" fillId="15" borderId="74" xfId="4" applyNumberFormat="1" applyFont="1" applyFill="1" applyBorder="1" applyAlignment="1" applyProtection="1">
      <alignment horizontal="right" vertical="center"/>
    </xf>
    <xf numFmtId="0" fontId="8" fillId="15" borderId="69" xfId="4" applyFont="1" applyFill="1" applyBorder="1" applyAlignment="1" applyProtection="1">
      <alignment vertical="center" wrapText="1"/>
    </xf>
    <xf numFmtId="0" fontId="8" fillId="15" borderId="59" xfId="4" applyFont="1" applyFill="1" applyBorder="1" applyAlignment="1" applyProtection="1">
      <alignment vertical="center" wrapText="1"/>
    </xf>
    <xf numFmtId="0" fontId="8" fillId="15" borderId="39" xfId="12" applyFont="1" applyFill="1" applyBorder="1" applyAlignment="1" applyProtection="1">
      <alignment horizontal="left" vertical="center" wrapText="1"/>
    </xf>
    <xf numFmtId="0" fontId="179" fillId="24" borderId="16" xfId="4" applyFont="1" applyFill="1" applyBorder="1" applyAlignment="1" applyProtection="1">
      <alignment vertical="center"/>
    </xf>
    <xf numFmtId="0" fontId="12" fillId="15" borderId="19" xfId="4" applyFont="1" applyFill="1" applyBorder="1" applyAlignment="1" applyProtection="1">
      <alignment vertical="center" wrapText="1"/>
    </xf>
    <xf numFmtId="0" fontId="12" fillId="15" borderId="23" xfId="4" applyFont="1" applyFill="1" applyBorder="1" applyAlignment="1" applyProtection="1">
      <alignment vertical="center" wrapText="1"/>
    </xf>
    <xf numFmtId="0" fontId="12" fillId="15" borderId="32" xfId="4" applyFont="1" applyFill="1" applyBorder="1" applyAlignment="1" applyProtection="1">
      <alignment vertical="center" wrapText="1"/>
    </xf>
    <xf numFmtId="165" fontId="3" fillId="15" borderId="17" xfId="12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vertical="center" wrapText="1"/>
    </xf>
    <xf numFmtId="168" fontId="179" fillId="24" borderId="31" xfId="12" quotePrefix="1" applyNumberFormat="1" applyFont="1" applyFill="1" applyBorder="1" applyAlignment="1" applyProtection="1">
      <alignment horizontal="right"/>
    </xf>
    <xf numFmtId="165" fontId="3" fillId="15" borderId="17" xfId="12" applyNumberFormat="1" applyFont="1" applyFill="1" applyBorder="1" applyAlignment="1" applyProtection="1">
      <alignment horizontal="right"/>
    </xf>
    <xf numFmtId="168" fontId="9" fillId="15" borderId="18" xfId="12" quotePrefix="1" applyNumberFormat="1" applyFont="1" applyFill="1" applyBorder="1" applyAlignment="1" applyProtection="1">
      <alignment horizontal="right" vertical="top"/>
    </xf>
    <xf numFmtId="0" fontId="3" fillId="15" borderId="19" xfId="12" applyFont="1" applyFill="1" applyBorder="1" applyAlignment="1" applyProtection="1">
      <alignment vertical="top" wrapText="1"/>
    </xf>
    <xf numFmtId="168" fontId="9" fillId="15" borderId="22" xfId="12" quotePrefix="1" applyNumberFormat="1" applyFont="1" applyFill="1" applyBorder="1" applyAlignment="1" applyProtection="1">
      <alignment horizontal="right" vertical="top"/>
    </xf>
    <xf numFmtId="0" fontId="3" fillId="15" borderId="23" xfId="12" applyFont="1" applyFill="1" applyBorder="1" applyAlignment="1" applyProtection="1">
      <alignment vertical="top" wrapText="1"/>
    </xf>
    <xf numFmtId="168" fontId="9" fillId="15" borderId="34" xfId="12" quotePrefix="1" applyNumberFormat="1" applyFont="1" applyFill="1" applyBorder="1" applyAlignment="1" applyProtection="1">
      <alignment horizontal="right" vertical="top"/>
    </xf>
    <xf numFmtId="0" fontId="3" fillId="15" borderId="32" xfId="12" applyFont="1" applyFill="1" applyBorder="1" applyAlignment="1" applyProtection="1">
      <alignment vertical="top" wrapText="1"/>
    </xf>
    <xf numFmtId="168" fontId="9" fillId="15" borderId="27" xfId="12" quotePrefix="1" applyNumberFormat="1" applyFont="1" applyFill="1" applyBorder="1" applyAlignment="1" applyProtection="1">
      <alignment horizontal="right" vertical="top"/>
    </xf>
    <xf numFmtId="0" fontId="3" fillId="15" borderId="38" xfId="12" applyFont="1" applyFill="1" applyBorder="1" applyAlignment="1" applyProtection="1">
      <alignment vertical="top" wrapText="1"/>
    </xf>
    <xf numFmtId="168" fontId="181" fillId="15" borderId="75" xfId="12" quotePrefix="1" applyNumberFormat="1" applyFont="1" applyFill="1" applyBorder="1" applyAlignment="1" applyProtection="1">
      <alignment horizontal="right" vertical="center"/>
    </xf>
    <xf numFmtId="0" fontId="181" fillId="15" borderId="76" xfId="12" applyFont="1" applyFill="1" applyBorder="1" applyProtection="1"/>
    <xf numFmtId="3" fontId="6" fillId="15" borderId="77" xfId="4" applyNumberFormat="1" applyFont="1" applyFill="1" applyBorder="1" applyAlignment="1" applyProtection="1">
      <alignment horizontal="right" vertical="center"/>
    </xf>
    <xf numFmtId="3" fontId="12" fillId="15" borderId="78" xfId="4" applyNumberFormat="1" applyFont="1" applyFill="1" applyBorder="1" applyAlignment="1" applyProtection="1">
      <alignment horizontal="right" vertical="center"/>
    </xf>
    <xf numFmtId="3" fontId="12" fillId="15" borderId="75" xfId="4" applyNumberFormat="1" applyFont="1" applyFill="1" applyBorder="1" applyAlignment="1" applyProtection="1">
      <alignment horizontal="right" vertical="center"/>
    </xf>
    <xf numFmtId="3" fontId="12" fillId="15" borderId="79" xfId="4" applyNumberFormat="1" applyFont="1" applyFill="1" applyBorder="1" applyAlignment="1" applyProtection="1">
      <alignment horizontal="right" vertical="center"/>
    </xf>
    <xf numFmtId="170" fontId="179" fillId="17" borderId="31" xfId="12" applyNumberFormat="1" applyFont="1" applyFill="1" applyBorder="1" applyAlignment="1" applyProtection="1">
      <alignment horizontal="right"/>
    </xf>
    <xf numFmtId="3" fontId="179" fillId="17" borderId="52" xfId="4" applyNumberFormat="1" applyFont="1" applyFill="1" applyBorder="1" applyAlignment="1" applyProtection="1">
      <alignment horizontal="right" vertical="center"/>
    </xf>
    <xf numFmtId="3" fontId="173" fillId="17" borderId="8" xfId="4" applyNumberFormat="1" applyFont="1" applyFill="1" applyBorder="1" applyAlignment="1" applyProtection="1">
      <alignment horizontal="right" vertical="center"/>
    </xf>
    <xf numFmtId="3" fontId="173" fillId="17" borderId="3" xfId="4" applyNumberFormat="1" applyFont="1" applyFill="1" applyBorder="1" applyAlignment="1" applyProtection="1">
      <alignment horizontal="right" vertical="center"/>
    </xf>
    <xf numFmtId="3" fontId="173" fillId="17" borderId="9" xfId="4" applyNumberFormat="1" applyFont="1" applyFill="1" applyBorder="1" applyAlignment="1" applyProtection="1">
      <alignment horizontal="right" vertical="center"/>
    </xf>
    <xf numFmtId="170" fontId="6" fillId="15" borderId="49" xfId="12" quotePrefix="1" applyNumberFormat="1" applyFont="1" applyFill="1" applyBorder="1" applyAlignment="1" applyProtection="1">
      <alignment horizontal="right" vertical="center"/>
    </xf>
    <xf numFmtId="0" fontId="6" fillId="15" borderId="50" xfId="4" applyFont="1" applyFill="1" applyBorder="1" applyAlignment="1" applyProtection="1">
      <alignment vertical="center"/>
    </xf>
    <xf numFmtId="0" fontId="6" fillId="15" borderId="0" xfId="4" applyFont="1" applyFill="1" applyBorder="1" applyAlignment="1" applyProtection="1">
      <alignment vertical="center" wrapText="1"/>
    </xf>
    <xf numFmtId="3" fontId="3" fillId="15" borderId="2" xfId="4" applyNumberFormat="1" applyFont="1" applyFill="1" applyBorder="1" applyAlignment="1" applyProtection="1">
      <alignment horizontal="right" vertical="center"/>
    </xf>
    <xf numFmtId="170" fontId="6" fillId="15" borderId="17" xfId="12" quotePrefix="1" applyNumberFormat="1" applyFont="1" applyFill="1" applyBorder="1" applyAlignment="1" applyProtection="1">
      <alignment horizontal="right" vertical="center"/>
    </xf>
    <xf numFmtId="0" fontId="3" fillId="15" borderId="0" xfId="4" applyFont="1" applyFill="1" applyBorder="1" applyAlignment="1" applyProtection="1">
      <alignment vertical="center"/>
    </xf>
    <xf numFmtId="170" fontId="182" fillId="23" borderId="40" xfId="12" applyNumberFormat="1" applyFont="1" applyFill="1" applyBorder="1" applyAlignment="1" applyProtection="1">
      <alignment horizontal="right" vertical="center"/>
    </xf>
    <xf numFmtId="0" fontId="175" fillId="23" borderId="41" xfId="12" applyFont="1" applyFill="1" applyBorder="1" applyAlignment="1" applyProtection="1">
      <alignment horizontal="right" vertical="center"/>
    </xf>
    <xf numFmtId="0" fontId="176" fillId="23" borderId="42" xfId="14" applyFont="1" applyFill="1" applyBorder="1" applyAlignment="1" applyProtection="1">
      <alignment horizontal="center" vertical="center" wrapText="1"/>
    </xf>
    <xf numFmtId="3" fontId="176" fillId="23" borderId="80" xfId="4" applyNumberFormat="1" applyFont="1" applyFill="1" applyBorder="1" applyAlignment="1" applyProtection="1">
      <alignment horizontal="right" vertical="center"/>
    </xf>
    <xf numFmtId="3" fontId="178" fillId="23" borderId="40" xfId="4" applyNumberFormat="1" applyFont="1" applyFill="1" applyBorder="1" applyAlignment="1" applyProtection="1">
      <alignment horizontal="right" vertical="center"/>
    </xf>
    <xf numFmtId="3" fontId="178" fillId="23" borderId="41" xfId="4" applyNumberFormat="1" applyFont="1" applyFill="1" applyBorder="1" applyAlignment="1" applyProtection="1">
      <alignment horizontal="right" vertical="center"/>
    </xf>
    <xf numFmtId="3" fontId="178" fillId="23" borderId="42" xfId="4" applyNumberFormat="1" applyFont="1" applyFill="1" applyBorder="1" applyAlignment="1" applyProtection="1">
      <alignment horizontal="right" vertical="center"/>
    </xf>
    <xf numFmtId="0" fontId="6" fillId="15" borderId="0" xfId="12" applyFont="1" applyFill="1" applyBorder="1" applyAlignment="1" applyProtection="1">
      <alignment horizontal="center" vertical="center"/>
    </xf>
    <xf numFmtId="0" fontId="3" fillId="15" borderId="0" xfId="4" applyFont="1" applyFill="1" applyBorder="1" applyAlignment="1" applyProtection="1">
      <alignment vertical="center" wrapText="1"/>
    </xf>
    <xf numFmtId="0" fontId="3" fillId="22" borderId="0" xfId="4" applyFont="1" applyFill="1" applyAlignment="1" applyProtection="1">
      <alignment vertical="center"/>
    </xf>
    <xf numFmtId="0" fontId="3" fillId="22" borderId="0" xfId="4" applyFont="1" applyFill="1" applyBorder="1" applyAlignment="1" applyProtection="1">
      <alignment vertical="center"/>
    </xf>
    <xf numFmtId="0" fontId="3" fillId="22" borderId="0" xfId="4" applyFont="1" applyFill="1" applyBorder="1" applyAlignment="1" applyProtection="1">
      <alignment vertical="center" wrapText="1"/>
    </xf>
    <xf numFmtId="3" fontId="3" fillId="22" borderId="0" xfId="4" applyNumberFormat="1" applyFont="1" applyFill="1" applyAlignment="1" applyProtection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 applyProtection="1">
      <alignment horizontal="left" vertical="center"/>
    </xf>
    <xf numFmtId="166" fontId="183" fillId="17" borderId="4" xfId="4" applyNumberFormat="1" applyFont="1" applyFill="1" applyBorder="1" applyAlignment="1" applyProtection="1">
      <alignment horizontal="center" vertical="center"/>
    </xf>
    <xf numFmtId="0" fontId="11" fillId="25" borderId="0" xfId="4" applyFont="1" applyFill="1" applyAlignment="1">
      <alignment vertical="center"/>
    </xf>
    <xf numFmtId="3" fontId="3" fillId="15" borderId="0" xfId="4" quotePrefix="1" applyNumberFormat="1" applyFont="1" applyFill="1" applyAlignment="1" applyProtection="1">
      <alignment horizontal="right" vertical="center"/>
    </xf>
    <xf numFmtId="0" fontId="11" fillId="15" borderId="0" xfId="4" applyFont="1" applyFill="1" applyAlignment="1" applyProtection="1">
      <alignment horizontal="center" vertical="center"/>
    </xf>
    <xf numFmtId="0" fontId="11" fillId="0" borderId="0" xfId="4" quotePrefix="1" applyFont="1" applyAlignment="1" applyProtection="1">
      <alignment vertical="center"/>
    </xf>
    <xf numFmtId="167" fontId="3" fillId="15" borderId="0" xfId="4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65" fillId="17" borderId="3" xfId="4" applyFont="1" applyFill="1" applyBorder="1" applyAlignment="1" applyProtection="1">
      <alignment horizontal="center" vertical="center"/>
    </xf>
    <xf numFmtId="0" fontId="184" fillId="25" borderId="5" xfId="4" applyFont="1" applyFill="1" applyBorder="1" applyAlignment="1" applyProtection="1">
      <alignment vertical="center"/>
    </xf>
    <xf numFmtId="0" fontId="184" fillId="25" borderId="6" xfId="4" applyFont="1" applyFill="1" applyBorder="1" applyAlignment="1" applyProtection="1">
      <alignment horizontal="center" vertical="center"/>
    </xf>
    <xf numFmtId="0" fontId="185" fillId="25" borderId="7" xfId="4" applyFont="1" applyFill="1" applyBorder="1" applyAlignment="1" applyProtection="1">
      <alignment horizontal="center" vertical="center" wrapText="1"/>
    </xf>
    <xf numFmtId="0" fontId="186" fillId="25" borderId="14" xfId="4" quotePrefix="1" applyFont="1" applyFill="1" applyBorder="1" applyAlignment="1" applyProtection="1">
      <alignment horizontal="center" vertical="center"/>
    </xf>
    <xf numFmtId="0" fontId="186" fillId="25" borderId="15" xfId="4" applyFont="1" applyFill="1" applyBorder="1" applyAlignment="1" applyProtection="1">
      <alignment horizontal="center" vertical="center"/>
    </xf>
    <xf numFmtId="0" fontId="187" fillId="0" borderId="82" xfId="12" applyFont="1" applyFill="1" applyBorder="1" applyAlignment="1" applyProtection="1">
      <alignment horizontal="center" vertical="center" wrapText="1"/>
    </xf>
    <xf numFmtId="1" fontId="185" fillId="26" borderId="14" xfId="4" applyNumberFormat="1" applyFont="1" applyFill="1" applyBorder="1" applyAlignment="1" applyProtection="1">
      <alignment horizontal="center" vertical="center" wrapText="1"/>
    </xf>
    <xf numFmtId="1" fontId="185" fillId="26" borderId="83" xfId="4" applyNumberFormat="1" applyFont="1" applyFill="1" applyBorder="1" applyAlignment="1" applyProtection="1">
      <alignment horizontal="center" vertical="center" wrapText="1"/>
    </xf>
    <xf numFmtId="1" fontId="185" fillId="26" borderId="13" xfId="4" applyNumberFormat="1" applyFont="1" applyFill="1" applyBorder="1" applyAlignment="1" applyProtection="1">
      <alignment horizontal="center" vertical="center" wrapText="1"/>
    </xf>
    <xf numFmtId="0" fontId="188" fillId="25" borderId="10" xfId="4" applyFont="1" applyFill="1" applyBorder="1" applyAlignment="1" applyProtection="1">
      <alignment horizontal="center" vertical="center" wrapText="1"/>
    </xf>
    <xf numFmtId="0" fontId="189" fillId="17" borderId="52" xfId="12" applyFont="1" applyFill="1" applyBorder="1" applyAlignment="1" applyProtection="1">
      <alignment horizontal="left" vertical="center"/>
    </xf>
    <xf numFmtId="1" fontId="3" fillId="17" borderId="4" xfId="4" applyNumberFormat="1" applyFont="1" applyFill="1" applyBorder="1" applyAlignment="1" applyProtection="1">
      <alignment horizontal="left" vertical="center" wrapText="1"/>
    </xf>
    <xf numFmtId="1" fontId="184" fillId="15" borderId="9" xfId="4" applyNumberFormat="1" applyFont="1" applyFill="1" applyBorder="1" applyAlignment="1" applyProtection="1">
      <alignment horizontal="left" vertical="center" wrapText="1"/>
    </xf>
    <xf numFmtId="3" fontId="55" fillId="15" borderId="52" xfId="4" quotePrefix="1" applyNumberFormat="1" applyFont="1" applyFill="1" applyBorder="1" applyAlignment="1">
      <alignment horizontal="center" vertical="center"/>
    </xf>
    <xf numFmtId="3" fontId="56" fillId="15" borderId="8" xfId="4" quotePrefix="1" applyNumberFormat="1" applyFont="1" applyFill="1" applyBorder="1" applyAlignment="1">
      <alignment horizontal="center" vertical="center"/>
    </xf>
    <xf numFmtId="3" fontId="56" fillId="15" borderId="3" xfId="4" quotePrefix="1" applyNumberFormat="1" applyFont="1" applyFill="1" applyBorder="1" applyAlignment="1" applyProtection="1">
      <alignment horizontal="center" vertical="center"/>
    </xf>
    <xf numFmtId="3" fontId="57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52" xfId="4" quotePrefix="1" applyNumberFormat="1" applyFont="1" applyFill="1" applyBorder="1" applyAlignment="1" applyProtection="1">
      <alignment horizontal="center" vertical="center"/>
    </xf>
    <xf numFmtId="0" fontId="190" fillId="15" borderId="11" xfId="12" applyFont="1" applyFill="1" applyBorder="1" applyAlignment="1" applyProtection="1">
      <alignment horizontal="left" vertical="center"/>
    </xf>
    <xf numFmtId="1" fontId="3" fillId="15" borderId="12" xfId="4" applyNumberFormat="1" applyFont="1" applyFill="1" applyBorder="1" applyAlignment="1" applyProtection="1">
      <alignment horizontal="center" vertical="center"/>
    </xf>
    <xf numFmtId="0" fontId="8" fillId="15" borderId="12" xfId="12" applyFont="1" applyFill="1" applyBorder="1" applyAlignment="1" applyProtection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3" fontId="3" fillId="15" borderId="0" xfId="4" applyNumberFormat="1" applyFont="1" applyFill="1" applyBorder="1" applyAlignment="1">
      <alignment horizontal="right" vertical="center"/>
    </xf>
    <xf numFmtId="168" fontId="191" fillId="26" borderId="31" xfId="12" quotePrefix="1" applyNumberFormat="1" applyFont="1" applyFill="1" applyBorder="1" applyAlignment="1" applyProtection="1">
      <alignment horizontal="right" vertical="center"/>
    </xf>
    <xf numFmtId="3" fontId="192" fillId="26" borderId="8" xfId="4" applyNumberFormat="1" applyFont="1" applyFill="1" applyBorder="1" applyAlignment="1" applyProtection="1">
      <alignment vertical="center"/>
    </xf>
    <xf numFmtId="3" fontId="192" fillId="26" borderId="3" xfId="4" applyNumberFormat="1" applyFont="1" applyFill="1" applyBorder="1" applyAlignment="1" applyProtection="1">
      <alignment vertical="center"/>
    </xf>
    <xf numFmtId="3" fontId="192" fillId="26" borderId="9" xfId="4" applyNumberFormat="1" applyFont="1" applyFill="1" applyBorder="1" applyAlignment="1" applyProtection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168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74" fontId="170" fillId="21" borderId="67" xfId="4" applyNumberFormat="1" applyFont="1" applyFill="1" applyBorder="1" applyAlignment="1" applyProtection="1">
      <alignment horizontal="center" vertical="center"/>
    </xf>
    <xf numFmtId="168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74" fontId="170" fillId="21" borderId="62" xfId="4" applyNumberFormat="1" applyFont="1" applyFill="1" applyBorder="1" applyAlignment="1" applyProtection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168" fontId="191" fillId="26" borderId="31" xfId="12" quotePrefix="1" applyNumberFormat="1" applyFont="1" applyFill="1" applyBorder="1" applyAlignment="1">
      <alignment horizontal="right" vertical="center"/>
    </xf>
    <xf numFmtId="3" fontId="192" fillId="26" borderId="8" xfId="4" applyNumberFormat="1" applyFont="1" applyFill="1" applyBorder="1" applyAlignment="1">
      <alignment vertical="center"/>
    </xf>
    <xf numFmtId="3" fontId="192" fillId="26" borderId="4" xfId="4" applyNumberFormat="1" applyFont="1" applyFill="1" applyBorder="1" applyAlignment="1">
      <alignment vertical="center"/>
    </xf>
    <xf numFmtId="168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68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168" fontId="9" fillId="15" borderId="1" xfId="12" quotePrefix="1" applyNumberFormat="1" applyFont="1" applyFill="1" applyBorder="1" applyAlignment="1">
      <alignment horizontal="right" vertical="center"/>
    </xf>
    <xf numFmtId="0" fontId="12" fillId="15" borderId="0" xfId="12" applyFont="1" applyFill="1" applyBorder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74" fontId="170" fillId="21" borderId="13" xfId="4" applyNumberFormat="1" applyFont="1" applyFill="1" applyBorder="1" applyAlignment="1" applyProtection="1">
      <alignment horizontal="center" vertical="center"/>
    </xf>
    <xf numFmtId="3" fontId="192" fillId="26" borderId="3" xfId="4" applyNumberFormat="1" applyFont="1" applyFill="1" applyBorder="1" applyAlignment="1">
      <alignment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68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68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92" fillId="26" borderId="8" xfId="4" applyNumberFormat="1" applyFont="1" applyFill="1" applyBorder="1" applyAlignment="1" applyProtection="1">
      <alignment vertical="center"/>
      <protection locked="0"/>
    </xf>
    <xf numFmtId="3" fontId="192" fillId="26" borderId="3" xfId="4" applyNumberFormat="1" applyFont="1" applyFill="1" applyBorder="1" applyAlignment="1" applyProtection="1">
      <alignment vertical="center"/>
      <protection locked="0"/>
    </xf>
    <xf numFmtId="168" fontId="9" fillId="15" borderId="18" xfId="12" applyNumberFormat="1" applyFont="1" applyFill="1" applyBorder="1" applyAlignment="1">
      <alignment horizontal="right" vertical="center"/>
    </xf>
    <xf numFmtId="174" fontId="170" fillId="21" borderId="20" xfId="4" applyNumberFormat="1" applyFont="1" applyFill="1" applyBorder="1" applyAlignment="1" applyProtection="1">
      <alignment horizontal="center" vertical="center"/>
    </xf>
    <xf numFmtId="174" fontId="170" fillId="21" borderId="18" xfId="4" applyNumberFormat="1" applyFont="1" applyFill="1" applyBorder="1" applyAlignment="1" applyProtection="1">
      <alignment horizontal="center" vertical="center"/>
    </xf>
    <xf numFmtId="174" fontId="170" fillId="21" borderId="24" xfId="4" applyNumberFormat="1" applyFont="1" applyFill="1" applyBorder="1" applyAlignment="1" applyProtection="1">
      <alignment horizontal="center" vertical="center"/>
    </xf>
    <xf numFmtId="174" fontId="170" fillId="21" borderId="22" xfId="4" applyNumberFormat="1" applyFont="1" applyFill="1" applyBorder="1" applyAlignment="1" applyProtection="1">
      <alignment horizontal="center" vertical="center"/>
    </xf>
    <xf numFmtId="174" fontId="170" fillId="21" borderId="33" xfId="4" applyNumberFormat="1" applyFont="1" applyFill="1" applyBorder="1" applyAlignment="1" applyProtection="1">
      <alignment horizontal="center" vertical="center"/>
    </xf>
    <xf numFmtId="174" fontId="170" fillId="21" borderId="34" xfId="4" applyNumberFormat="1" applyFont="1" applyFill="1" applyBorder="1" applyAlignment="1" applyProtection="1">
      <alignment horizontal="center" vertical="center"/>
    </xf>
    <xf numFmtId="0" fontId="193" fillId="25" borderId="40" xfId="12" quotePrefix="1" applyFont="1" applyFill="1" applyBorder="1" applyAlignment="1">
      <alignment horizontal="right" vertical="center"/>
    </xf>
    <xf numFmtId="0" fontId="186" fillId="25" borderId="41" xfId="12" applyFont="1" applyFill="1" applyBorder="1" applyAlignment="1">
      <alignment horizontal="right" vertical="center"/>
    </xf>
    <xf numFmtId="0" fontId="185" fillId="25" borderId="42" xfId="12" applyFont="1" applyFill="1" applyBorder="1" applyAlignment="1">
      <alignment horizontal="center" vertical="center" wrapText="1"/>
    </xf>
    <xf numFmtId="3" fontId="192" fillId="25" borderId="40" xfId="4" applyNumberFormat="1" applyFont="1" applyFill="1" applyBorder="1" applyAlignment="1">
      <alignment vertical="center"/>
    </xf>
    <xf numFmtId="3" fontId="192" fillId="25" borderId="41" xfId="4" applyNumberFormat="1" applyFont="1" applyFill="1" applyBorder="1" applyAlignment="1">
      <alignment vertical="center"/>
    </xf>
    <xf numFmtId="0" fontId="189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84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Border="1" applyAlignment="1">
      <alignment vertical="center"/>
    </xf>
    <xf numFmtId="3" fontId="12" fillId="15" borderId="2" xfId="4" applyNumberFormat="1" applyFont="1" applyFill="1" applyBorder="1" applyAlignment="1" applyProtection="1">
      <alignment vertical="center"/>
    </xf>
    <xf numFmtId="3" fontId="12" fillId="15" borderId="0" xfId="4" applyNumberFormat="1" applyFont="1" applyFill="1" applyBorder="1" applyAlignment="1" applyProtection="1">
      <alignment vertical="center"/>
    </xf>
    <xf numFmtId="168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 applyProtection="1">
      <alignment vertical="center"/>
    </xf>
    <xf numFmtId="3" fontId="12" fillId="15" borderId="16" xfId="4" applyNumberFormat="1" applyFont="1" applyFill="1" applyBorder="1" applyAlignment="1" applyProtection="1">
      <alignment vertical="center"/>
    </xf>
    <xf numFmtId="0" fontId="193" fillId="25" borderId="40" xfId="12" quotePrefix="1" applyFont="1" applyFill="1" applyBorder="1" applyAlignment="1" applyProtection="1">
      <alignment horizontal="right" vertical="center"/>
    </xf>
    <xf numFmtId="0" fontId="186" fillId="25" borderId="41" xfId="12" applyFont="1" applyFill="1" applyBorder="1" applyAlignment="1" applyProtection="1">
      <alignment horizontal="right" vertical="center"/>
    </xf>
    <xf numFmtId="0" fontId="185" fillId="25" borderId="42" xfId="12" applyFont="1" applyFill="1" applyBorder="1" applyAlignment="1" applyProtection="1">
      <alignment horizontal="center" vertical="center" wrapText="1"/>
    </xf>
    <xf numFmtId="3" fontId="185" fillId="25" borderId="80" xfId="4" applyNumberFormat="1" applyFont="1" applyFill="1" applyBorder="1" applyAlignment="1" applyProtection="1">
      <alignment vertical="center"/>
    </xf>
    <xf numFmtId="3" fontId="192" fillId="25" borderId="40" xfId="4" applyNumberFormat="1" applyFont="1" applyFill="1" applyBorder="1" applyAlignment="1" applyProtection="1">
      <alignment vertical="center"/>
    </xf>
    <xf numFmtId="3" fontId="192" fillId="25" borderId="41" xfId="4" applyNumberFormat="1" applyFont="1" applyFill="1" applyBorder="1" applyAlignment="1" applyProtection="1">
      <alignment vertical="center"/>
    </xf>
    <xf numFmtId="3" fontId="192" fillId="25" borderId="42" xfId="4" applyNumberFormat="1" applyFont="1" applyFill="1" applyBorder="1" applyAlignment="1" applyProtection="1">
      <alignment vertical="center"/>
    </xf>
    <xf numFmtId="0" fontId="3" fillId="25" borderId="0" xfId="4" applyFont="1" applyFill="1" applyAlignment="1" applyProtection="1">
      <alignment vertical="center"/>
    </xf>
    <xf numFmtId="0" fontId="3" fillId="25" borderId="0" xfId="4" applyFont="1" applyFill="1" applyAlignment="1" applyProtection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4" quotePrefix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 wrapText="1"/>
    </xf>
    <xf numFmtId="0" fontId="3" fillId="15" borderId="0" xfId="4" quotePrefix="1" applyFont="1" applyFill="1" applyBorder="1" applyAlignment="1" applyProtection="1">
      <alignment horizontal="center" vertical="center" wrapText="1"/>
    </xf>
    <xf numFmtId="0" fontId="11" fillId="28" borderId="89" xfId="4" quotePrefix="1" applyFont="1" applyFill="1" applyBorder="1" applyAlignment="1" applyProtection="1">
      <alignment horizontal="center" vertical="center" wrapText="1"/>
    </xf>
    <xf numFmtId="1" fontId="11" fillId="15" borderId="14" xfId="4" applyNumberFormat="1" applyFont="1" applyFill="1" applyBorder="1" applyAlignment="1" applyProtection="1">
      <alignment horizontal="center" vertical="center" wrapText="1"/>
    </xf>
    <xf numFmtId="1" fontId="11" fillId="15" borderId="83" xfId="4" applyNumberFormat="1" applyFont="1" applyFill="1" applyBorder="1" applyAlignment="1" applyProtection="1">
      <alignment horizontal="center" vertical="center" wrapText="1"/>
    </xf>
    <xf numFmtId="1" fontId="11" fillId="15" borderId="13" xfId="4" applyNumberFormat="1" applyFont="1" applyFill="1" applyBorder="1" applyAlignment="1" applyProtection="1">
      <alignment horizontal="center" vertical="center" wrapText="1"/>
    </xf>
    <xf numFmtId="0" fontId="62" fillId="28" borderId="10" xfId="4" applyFont="1" applyFill="1" applyBorder="1" applyAlignment="1" applyProtection="1">
      <alignment horizontal="center" vertical="center" wrapText="1"/>
    </xf>
    <xf numFmtId="0" fontId="3" fillId="15" borderId="0" xfId="4" quotePrefix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 applyProtection="1">
      <alignment horizontal="center" vertical="center"/>
    </xf>
    <xf numFmtId="0" fontId="3" fillId="15" borderId="73" xfId="4" quotePrefix="1" applyFont="1" applyFill="1" applyBorder="1" applyAlignment="1" applyProtection="1">
      <alignment horizontal="left" vertical="center" wrapText="1"/>
    </xf>
    <xf numFmtId="3" fontId="55" fillId="15" borderId="90" xfId="4" quotePrefix="1" applyNumberFormat="1" applyFont="1" applyFill="1" applyBorder="1" applyAlignment="1">
      <alignment horizontal="center" vertical="center"/>
    </xf>
    <xf numFmtId="3" fontId="56" fillId="15" borderId="85" xfId="4" quotePrefix="1" applyNumberFormat="1" applyFont="1" applyFill="1" applyBorder="1" applyAlignment="1">
      <alignment horizontal="center" vertical="center"/>
    </xf>
    <xf numFmtId="3" fontId="56" fillId="15" borderId="84" xfId="4" quotePrefix="1" applyNumberFormat="1" applyFont="1" applyFill="1" applyBorder="1" applyAlignment="1" applyProtection="1">
      <alignment horizontal="center" vertical="center"/>
    </xf>
    <xf numFmtId="3" fontId="57" fillId="15" borderId="91" xfId="4" quotePrefix="1" applyNumberFormat="1" applyFont="1" applyFill="1" applyBorder="1" applyAlignment="1" applyProtection="1">
      <alignment horizontal="center" vertical="center"/>
    </xf>
    <xf numFmtId="3" fontId="42" fillId="15" borderId="85" xfId="4" quotePrefix="1" applyNumberFormat="1" applyFont="1" applyFill="1" applyBorder="1" applyAlignment="1" applyProtection="1">
      <alignment horizontal="center" vertical="center"/>
    </xf>
    <xf numFmtId="3" fontId="42" fillId="15" borderId="84" xfId="4" quotePrefix="1" applyNumberFormat="1" applyFont="1" applyFill="1" applyBorder="1" applyAlignment="1" applyProtection="1">
      <alignment horizontal="center" vertical="center"/>
    </xf>
    <xf numFmtId="3" fontId="42" fillId="15" borderId="91" xfId="4" quotePrefix="1" applyNumberFormat="1" applyFont="1" applyFill="1" applyBorder="1" applyAlignment="1" applyProtection="1">
      <alignment horizontal="center" vertical="center"/>
    </xf>
    <xf numFmtId="3" fontId="27" fillId="15" borderId="90" xfId="4" quotePrefix="1" applyNumberFormat="1" applyFont="1" applyFill="1" applyBorder="1" applyAlignment="1" applyProtection="1">
      <alignment horizontal="center" vertical="center"/>
    </xf>
    <xf numFmtId="165" fontId="3" fillId="15" borderId="0" xfId="4" quotePrefix="1" applyNumberFormat="1" applyFont="1" applyFill="1" applyBorder="1" applyAlignment="1" applyProtection="1">
      <alignment horizontal="center" vertical="center"/>
    </xf>
    <xf numFmtId="165" fontId="11" fillId="28" borderId="92" xfId="4" quotePrefix="1" applyNumberFormat="1" applyFont="1" applyFill="1" applyBorder="1" applyAlignment="1" applyProtection="1">
      <alignment horizontal="center" vertical="center" wrapText="1"/>
    </xf>
    <xf numFmtId="175" fontId="11" fillId="28" borderId="92" xfId="4" applyNumberFormat="1" applyFont="1" applyFill="1" applyBorder="1" applyAlignment="1" applyProtection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75" fontId="6" fillId="28" borderId="92" xfId="4" applyNumberFormat="1" applyFont="1" applyFill="1" applyBorder="1" applyAlignment="1" applyProtection="1">
      <alignment horizontal="right" vertical="center"/>
    </xf>
    <xf numFmtId="165" fontId="3" fillId="15" borderId="0" xfId="4" applyNumberFormat="1" applyFont="1" applyFill="1" applyBorder="1" applyAlignment="1" applyProtection="1">
      <alignment vertical="center"/>
    </xf>
    <xf numFmtId="165" fontId="11" fillId="28" borderId="80" xfId="4" quotePrefix="1" applyNumberFormat="1" applyFont="1" applyFill="1" applyBorder="1" applyAlignment="1" applyProtection="1">
      <alignment horizontal="center" vertical="center" wrapText="1"/>
    </xf>
    <xf numFmtId="175" fontId="11" fillId="28" borderId="80" xfId="4" applyNumberFormat="1" applyFont="1" applyFill="1" applyBorder="1" applyAlignment="1" applyProtection="1">
      <alignment horizontal="right" vertical="center"/>
    </xf>
    <xf numFmtId="175" fontId="3" fillId="19" borderId="40" xfId="4" applyNumberFormat="1" applyFont="1" applyFill="1" applyBorder="1" applyAlignment="1" applyProtection="1">
      <alignment horizontal="right" vertical="center"/>
    </xf>
    <xf numFmtId="175" fontId="3" fillId="19" borderId="41" xfId="4" applyNumberFormat="1" applyFont="1" applyFill="1" applyBorder="1" applyAlignment="1" applyProtection="1">
      <alignment horizontal="right" vertical="center"/>
    </xf>
    <xf numFmtId="175" fontId="3" fillId="19" borderId="42" xfId="4" applyNumberFormat="1" applyFont="1" applyFill="1" applyBorder="1" applyAlignment="1" applyProtection="1">
      <alignment horizontal="right" vertical="center"/>
    </xf>
    <xf numFmtId="175" fontId="6" fillId="28" borderId="80" xfId="4" applyNumberFormat="1" applyFont="1" applyFill="1" applyBorder="1" applyAlignment="1" applyProtection="1">
      <alignment horizontal="right" vertical="center"/>
    </xf>
    <xf numFmtId="0" fontId="194" fillId="15" borderId="94" xfId="8" applyFont="1" applyFill="1" applyBorder="1" applyProtection="1"/>
    <xf numFmtId="176" fontId="194" fillId="15" borderId="0" xfId="8" applyNumberFormat="1" applyFont="1" applyFill="1" applyBorder="1" applyProtection="1"/>
    <xf numFmtId="0" fontId="3" fillId="27" borderId="0" xfId="4" applyFont="1" applyFill="1" applyAlignment="1" applyProtection="1">
      <alignment vertical="center"/>
    </xf>
    <xf numFmtId="0" fontId="3" fillId="27" borderId="0" xfId="4" applyFont="1" applyFill="1" applyAlignment="1" applyProtection="1">
      <alignment vertical="center" wrapText="1"/>
    </xf>
    <xf numFmtId="0" fontId="195" fillId="29" borderId="95" xfId="4" quotePrefix="1" applyFont="1" applyFill="1" applyBorder="1" applyAlignment="1" applyProtection="1">
      <alignment vertical="center"/>
    </xf>
    <xf numFmtId="0" fontId="196" fillId="29" borderId="96" xfId="4" applyFont="1" applyFill="1" applyBorder="1" applyAlignment="1" applyProtection="1">
      <alignment horizontal="center" vertical="center"/>
    </xf>
    <xf numFmtId="0" fontId="195" fillId="29" borderId="97" xfId="4" quotePrefix="1" applyFont="1" applyFill="1" applyBorder="1" applyAlignment="1" applyProtection="1">
      <alignment horizontal="center" vertical="center" wrapText="1"/>
    </xf>
    <xf numFmtId="0" fontId="197" fillId="29" borderId="8" xfId="4" quotePrefix="1" applyFont="1" applyFill="1" applyBorder="1" applyAlignment="1" applyProtection="1">
      <alignment horizontal="center" vertical="center"/>
    </xf>
    <xf numFmtId="0" fontId="197" fillId="29" borderId="3" xfId="4" applyFont="1" applyFill="1" applyBorder="1" applyAlignment="1" applyProtection="1">
      <alignment horizontal="center" vertical="center"/>
    </xf>
    <xf numFmtId="0" fontId="6" fillId="15" borderId="88" xfId="12" applyFont="1" applyFill="1" applyBorder="1" applyAlignment="1" applyProtection="1">
      <alignment horizontal="center" vertical="center" wrapText="1"/>
    </xf>
    <xf numFmtId="1" fontId="195" fillId="15" borderId="14" xfId="4" applyNumberFormat="1" applyFont="1" applyFill="1" applyBorder="1" applyAlignment="1" applyProtection="1">
      <alignment horizontal="center" vertical="center" wrapText="1"/>
    </xf>
    <xf numFmtId="1" fontId="195" fillId="15" borderId="83" xfId="4" applyNumberFormat="1" applyFont="1" applyFill="1" applyBorder="1" applyAlignment="1" applyProtection="1">
      <alignment horizontal="center" vertical="center" wrapText="1"/>
    </xf>
    <xf numFmtId="1" fontId="195" fillId="15" borderId="13" xfId="4" applyNumberFormat="1" applyFont="1" applyFill="1" applyBorder="1" applyAlignment="1" applyProtection="1">
      <alignment horizontal="center" vertical="center" wrapText="1"/>
    </xf>
    <xf numFmtId="0" fontId="198" fillId="29" borderId="10" xfId="4" applyFont="1" applyFill="1" applyBorder="1" applyAlignment="1" applyProtection="1">
      <alignment horizontal="center" vertical="center" wrapText="1"/>
    </xf>
    <xf numFmtId="0" fontId="3" fillId="15" borderId="31" xfId="4" applyFont="1" applyFill="1" applyBorder="1" applyAlignment="1" applyProtection="1">
      <alignment horizontal="left" vertical="center"/>
    </xf>
    <xf numFmtId="0" fontId="3" fillId="15" borderId="4" xfId="4" applyFont="1" applyFill="1" applyBorder="1" applyAlignment="1" applyProtection="1">
      <alignment horizontal="left" vertical="center"/>
    </xf>
    <xf numFmtId="0" fontId="196" fillId="15" borderId="0" xfId="4" applyFont="1" applyFill="1" applyBorder="1" applyAlignment="1" applyProtection="1">
      <alignment horizontal="left" vertical="center" wrapText="1"/>
    </xf>
    <xf numFmtId="168" fontId="199" fillId="30" borderId="31" xfId="12" quotePrefix="1" applyNumberFormat="1" applyFont="1" applyFill="1" applyBorder="1" applyAlignment="1">
      <alignment horizontal="right" vertical="center"/>
    </xf>
    <xf numFmtId="3" fontId="195" fillId="30" borderId="52" xfId="4" applyNumberFormat="1" applyFont="1" applyFill="1" applyBorder="1" applyAlignment="1" applyProtection="1">
      <alignment vertical="center"/>
    </xf>
    <xf numFmtId="3" fontId="200" fillId="30" borderId="8" xfId="4" applyNumberFormat="1" applyFont="1" applyFill="1" applyBorder="1" applyAlignment="1">
      <alignment vertical="center"/>
    </xf>
    <xf numFmtId="3" fontId="200" fillId="30" borderId="3" xfId="4" applyNumberFormat="1" applyFont="1" applyFill="1" applyBorder="1" applyAlignment="1" applyProtection="1">
      <alignment vertical="center"/>
    </xf>
    <xf numFmtId="3" fontId="200" fillId="30" borderId="9" xfId="4" applyNumberFormat="1" applyFont="1" applyFill="1" applyBorder="1" applyAlignment="1" applyProtection="1">
      <alignment vertical="center"/>
    </xf>
    <xf numFmtId="165" fontId="3" fillId="15" borderId="17" xfId="12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174" fontId="170" fillId="31" borderId="21" xfId="4" applyNumberFormat="1" applyFont="1" applyFill="1" applyBorder="1" applyAlignment="1" applyProtection="1">
      <alignment horizontal="center" vertical="center"/>
    </xf>
    <xf numFmtId="174" fontId="170" fillId="31" borderId="25" xfId="4" applyNumberFormat="1" applyFont="1" applyFill="1" applyBorder="1" applyAlignment="1" applyProtection="1">
      <alignment horizontal="center" vertical="center"/>
    </xf>
    <xf numFmtId="174" fontId="170" fillId="31" borderId="35" xfId="4" applyNumberFormat="1" applyFont="1" applyFill="1" applyBorder="1" applyAlignment="1" applyProtection="1">
      <alignment horizontal="center" vertical="center"/>
    </xf>
    <xf numFmtId="3" fontId="200" fillId="30" borderId="8" xfId="4" applyNumberFormat="1" applyFont="1" applyFill="1" applyBorder="1" applyAlignment="1" applyProtection="1">
      <alignment vertical="center"/>
    </xf>
    <xf numFmtId="0" fontId="8" fillId="15" borderId="19" xfId="12" applyFont="1" applyFill="1" applyBorder="1" applyAlignment="1">
      <alignment vertical="center" wrapText="1"/>
    </xf>
    <xf numFmtId="168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200" fillId="30" borderId="100" xfId="4" applyNumberFormat="1" applyFont="1" applyFill="1" applyBorder="1" applyAlignment="1" applyProtection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74" fontId="170" fillId="31" borderId="67" xfId="4" applyNumberFormat="1" applyFont="1" applyFill="1" applyBorder="1" applyAlignment="1" applyProtection="1">
      <alignment horizontal="center" vertical="center"/>
    </xf>
    <xf numFmtId="168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74" fontId="170" fillId="31" borderId="72" xfId="4" applyNumberFormat="1" applyFont="1" applyFill="1" applyBorder="1" applyAlignment="1" applyProtection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0" fontId="8" fillId="15" borderId="23" xfId="12" applyFont="1" applyFill="1" applyBorder="1" applyAlignment="1">
      <alignment horizontal="left" vertical="center" wrapText="1"/>
    </xf>
    <xf numFmtId="3" fontId="195" fillId="30" borderId="52" xfId="4" applyNumberFormat="1" applyFont="1" applyFill="1" applyBorder="1" applyAlignment="1" applyProtection="1">
      <alignment horizontal="right" vertical="center"/>
    </xf>
    <xf numFmtId="3" fontId="200" fillId="30" borderId="8" xfId="4" applyNumberFormat="1" applyFont="1" applyFill="1" applyBorder="1" applyAlignment="1" applyProtection="1">
      <alignment horizontal="right" vertical="center"/>
    </xf>
    <xf numFmtId="3" fontId="200" fillId="30" borderId="3" xfId="4" applyNumberFormat="1" applyFont="1" applyFill="1" applyBorder="1" applyAlignment="1" applyProtection="1">
      <alignment horizontal="right" vertical="center"/>
    </xf>
    <xf numFmtId="168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68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64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200" fillId="30" borderId="8" xfId="4" applyNumberFormat="1" applyFont="1" applyFill="1" applyBorder="1" applyAlignment="1" applyProtection="1">
      <alignment horizontal="right" vertical="center"/>
      <protection locked="0"/>
    </xf>
    <xf numFmtId="3" fontId="200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0" fontId="3" fillId="15" borderId="50" xfId="12" applyFont="1" applyFill="1" applyBorder="1" applyAlignment="1">
      <alignment horizontal="left" vertical="center" wrapText="1"/>
    </xf>
    <xf numFmtId="0" fontId="3" fillId="15" borderId="0" xfId="12" applyFont="1" applyFill="1" applyBorder="1" applyAlignment="1">
      <alignment horizontal="left" vertical="center" wrapText="1"/>
    </xf>
    <xf numFmtId="168" fontId="199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68" fontId="199" fillId="30" borderId="11" xfId="12" quotePrefix="1" applyNumberFormat="1" applyFont="1" applyFill="1" applyBorder="1" applyAlignment="1">
      <alignment horizontal="right" vertical="center"/>
    </xf>
    <xf numFmtId="3" fontId="195" fillId="30" borderId="10" xfId="4" applyNumberFormat="1" applyFont="1" applyFill="1" applyBorder="1" applyAlignment="1" applyProtection="1">
      <alignment vertical="center"/>
    </xf>
    <xf numFmtId="3" fontId="200" fillId="30" borderId="14" xfId="4" applyNumberFormat="1" applyFont="1" applyFill="1" applyBorder="1" applyAlignment="1" applyProtection="1">
      <alignment vertical="center"/>
    </xf>
    <xf numFmtId="3" fontId="200" fillId="30" borderId="15" xfId="4" applyNumberFormat="1" applyFont="1" applyFill="1" applyBorder="1" applyAlignment="1" applyProtection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68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68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68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Border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74" fontId="162" fillId="21" borderId="53" xfId="4" applyNumberFormat="1" applyFont="1" applyFill="1" applyBorder="1" applyAlignment="1" applyProtection="1">
      <alignment horizontal="center" vertical="center"/>
    </xf>
    <xf numFmtId="174" fontId="162" fillId="21" borderId="55" xfId="4" applyNumberFormat="1" applyFont="1" applyFill="1" applyBorder="1" applyAlignment="1" applyProtection="1">
      <alignment horizontal="center" vertical="center"/>
    </xf>
    <xf numFmtId="174" fontId="162" fillId="21" borderId="57" xfId="4" applyNumberFormat="1" applyFont="1" applyFill="1" applyBorder="1" applyAlignment="1" applyProtection="1">
      <alignment horizontal="center" vertical="center"/>
    </xf>
    <xf numFmtId="165" fontId="6" fillId="15" borderId="17" xfId="12" applyNumberFormat="1" applyFont="1" applyFill="1" applyBorder="1" applyAlignment="1">
      <alignment horizontal="right" vertical="center"/>
    </xf>
    <xf numFmtId="168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74" fontId="170" fillId="21" borderId="78" xfId="4" applyNumberFormat="1" applyFont="1" applyFill="1" applyBorder="1" applyAlignment="1" applyProtection="1">
      <alignment horizontal="center" vertical="center"/>
    </xf>
    <xf numFmtId="174" fontId="170" fillId="21" borderId="75" xfId="4" applyNumberFormat="1" applyFont="1" applyFill="1" applyBorder="1" applyAlignment="1" applyProtection="1">
      <alignment horizontal="center" vertical="center"/>
    </xf>
    <xf numFmtId="174" fontId="170" fillId="31" borderId="79" xfId="4" applyNumberFormat="1" applyFont="1" applyFill="1" applyBorder="1" applyAlignment="1" applyProtection="1">
      <alignment horizontal="center" vertical="center"/>
    </xf>
    <xf numFmtId="174" fontId="170" fillId="31" borderId="30" xfId="4" applyNumberFormat="1" applyFont="1" applyFill="1" applyBorder="1" applyAlignment="1" applyProtection="1">
      <alignment horizontal="center" vertical="center"/>
    </xf>
    <xf numFmtId="165" fontId="201" fillId="29" borderId="104" xfId="12" applyNumberFormat="1" applyFont="1" applyFill="1" applyBorder="1" applyAlignment="1">
      <alignment horizontal="right" vertical="center"/>
    </xf>
    <xf numFmtId="168" fontId="202" fillId="29" borderId="41" xfId="12" quotePrefix="1" applyNumberFormat="1" applyFont="1" applyFill="1" applyBorder="1" applyAlignment="1">
      <alignment horizontal="right" vertical="center"/>
    </xf>
    <xf numFmtId="0" fontId="195" fillId="29" borderId="105" xfId="12" applyFont="1" applyFill="1" applyBorder="1" applyAlignment="1">
      <alignment horizontal="center" vertical="center" wrapText="1"/>
    </xf>
    <xf numFmtId="3" fontId="199" fillId="29" borderId="80" xfId="4" applyNumberFormat="1" applyFont="1" applyFill="1" applyBorder="1" applyAlignment="1" applyProtection="1">
      <alignment vertical="center"/>
    </xf>
    <xf numFmtId="3" fontId="196" fillId="29" borderId="40" xfId="4" applyNumberFormat="1" applyFont="1" applyFill="1" applyBorder="1" applyAlignment="1">
      <alignment vertical="center"/>
    </xf>
    <xf numFmtId="3" fontId="196" fillId="29" borderId="106" xfId="4" applyNumberFormat="1" applyFont="1" applyFill="1" applyBorder="1" applyAlignment="1">
      <alignment vertical="center"/>
    </xf>
    <xf numFmtId="3" fontId="196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 applyProtection="1">
      <alignment vertical="center"/>
    </xf>
    <xf numFmtId="176" fontId="194" fillId="15" borderId="94" xfId="8" applyNumberFormat="1" applyFont="1" applyFill="1" applyBorder="1" applyProtection="1"/>
    <xf numFmtId="176" fontId="203" fillId="15" borderId="94" xfId="8" applyNumberFormat="1" applyFont="1" applyFill="1" applyBorder="1" applyAlignment="1" applyProtection="1">
      <alignment horizontal="center"/>
    </xf>
    <xf numFmtId="0" fontId="3" fillId="15" borderId="0" xfId="4" applyFont="1" applyFill="1" applyBorder="1" applyAlignment="1" applyProtection="1">
      <alignment horizontal="right" vertical="center"/>
    </xf>
    <xf numFmtId="3" fontId="204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 applyProtection="1">
      <alignment vertical="center"/>
    </xf>
    <xf numFmtId="0" fontId="14" fillId="15" borderId="0" xfId="4" applyFont="1" applyFill="1" applyBorder="1" applyAlignment="1" applyProtection="1">
      <alignment vertical="center"/>
    </xf>
    <xf numFmtId="0" fontId="3" fillId="15" borderId="12" xfId="4" applyFont="1" applyFill="1" applyBorder="1" applyAlignment="1" applyProtection="1">
      <alignment horizontal="center" vertical="center"/>
    </xf>
    <xf numFmtId="0" fontId="205" fillId="15" borderId="12" xfId="4" applyFont="1" applyFill="1" applyBorder="1" applyAlignment="1" applyProtection="1">
      <alignment vertical="center"/>
    </xf>
    <xf numFmtId="0" fontId="14" fillId="15" borderId="81" xfId="4" applyFont="1" applyFill="1" applyBorder="1" applyAlignment="1" applyProtection="1">
      <alignment horizontal="right" vertical="center"/>
    </xf>
    <xf numFmtId="0" fontId="206" fillId="24" borderId="3" xfId="4" applyFont="1" applyFill="1" applyBorder="1" applyAlignment="1" applyProtection="1">
      <alignment horizontal="center" vertical="center"/>
      <protection locked="0"/>
    </xf>
    <xf numFmtId="3" fontId="206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right" vertical="center"/>
    </xf>
    <xf numFmtId="0" fontId="205" fillId="15" borderId="0" xfId="4" applyFont="1" applyFill="1" applyAlignment="1">
      <alignment vertical="center"/>
    </xf>
    <xf numFmtId="0" fontId="205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3" fillId="18" borderId="0" xfId="4" applyFont="1" applyFill="1" applyAlignment="1">
      <alignment vertical="center" wrapText="1"/>
    </xf>
    <xf numFmtId="0" fontId="179" fillId="24" borderId="16" xfId="4" applyFont="1" applyFill="1" applyBorder="1" applyAlignment="1" applyProtection="1">
      <alignment vertical="center" wrapText="1"/>
    </xf>
    <xf numFmtId="3" fontId="3" fillId="0" borderId="0" xfId="4" applyNumberFormat="1" applyFont="1" applyFill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63" fillId="33" borderId="3" xfId="4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right" vertical="center"/>
    </xf>
    <xf numFmtId="173" fontId="11" fillId="24" borderId="3" xfId="4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207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208" fillId="17" borderId="3" xfId="4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4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4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92" fillId="26" borderId="41" xfId="4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209" fillId="35" borderId="31" xfId="8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210" fillId="15" borderId="16" xfId="0" quotePrefix="1" applyNumberFormat="1" applyFont="1" applyFill="1" applyBorder="1" applyAlignment="1" applyProtection="1"/>
    <xf numFmtId="175" fontId="211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210" fillId="15" borderId="96" xfId="0" quotePrefix="1" applyNumberFormat="1" applyFont="1" applyFill="1" applyBorder="1" applyAlignment="1" applyProtection="1"/>
    <xf numFmtId="175" fontId="211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4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7" applyFont="1" applyFill="1" applyBorder="1" applyProtection="1"/>
    <xf numFmtId="0" fontId="169" fillId="17" borderId="0" xfId="4" quotePrefix="1" applyFont="1" applyFill="1" applyAlignment="1" applyProtection="1">
      <alignment vertical="center"/>
    </xf>
    <xf numFmtId="0" fontId="83" fillId="17" borderId="0" xfId="7" applyFont="1" applyFill="1" applyProtection="1"/>
    <xf numFmtId="0" fontId="212" fillId="17" borderId="0" xfId="10" applyFont="1" applyFill="1" applyProtection="1"/>
    <xf numFmtId="0" fontId="168" fillId="17" borderId="0" xfId="7" applyFont="1" applyFill="1" applyAlignment="1" applyProtection="1">
      <alignment horizontal="center" vertical="center"/>
    </xf>
    <xf numFmtId="0" fontId="213" fillId="17" borderId="0" xfId="16" applyFont="1" applyFill="1" applyBorder="1" applyAlignment="1" applyProtection="1">
      <alignment horizontal="left"/>
    </xf>
    <xf numFmtId="0" fontId="169" fillId="13" borderId="0" xfId="16" applyFont="1" applyFill="1" applyAlignment="1" applyProtection="1">
      <alignment horizontal="left"/>
    </xf>
    <xf numFmtId="0" fontId="84" fillId="17" borderId="0" xfId="7" applyFont="1" applyFill="1" applyBorder="1" applyProtection="1"/>
    <xf numFmtId="0" fontId="167" fillId="17" borderId="0" xfId="0" applyNumberFormat="1" applyFont="1" applyFill="1" applyBorder="1" applyAlignment="1" applyProtection="1">
      <alignment horizontal="left"/>
    </xf>
    <xf numFmtId="0" fontId="168" fillId="17" borderId="0" xfId="7" applyNumberFormat="1" applyFont="1" applyFill="1" applyAlignment="1" applyProtection="1">
      <alignment horizontal="center" vertical="center"/>
    </xf>
    <xf numFmtId="0" fontId="84" fillId="17" borderId="0" xfId="7" applyNumberFormat="1" applyFont="1" applyFill="1" applyBorder="1" applyProtection="1"/>
    <xf numFmtId="0" fontId="32" fillId="32" borderId="0" xfId="7" applyFont="1" applyFill="1" applyBorder="1" applyProtection="1"/>
    <xf numFmtId="0" fontId="83" fillId="32" borderId="0" xfId="7" applyFont="1" applyFill="1" applyBorder="1" applyProtection="1"/>
    <xf numFmtId="0" fontId="84" fillId="17" borderId="0" xfId="7" applyFont="1" applyFill="1" applyAlignment="1" applyProtection="1">
      <alignment horizontal="right"/>
    </xf>
    <xf numFmtId="173" fontId="214" fillId="15" borderId="3" xfId="10" applyNumberFormat="1" applyFont="1" applyFill="1" applyBorder="1" applyAlignment="1" applyProtection="1">
      <alignment horizontal="center" vertical="center"/>
    </xf>
    <xf numFmtId="172" fontId="206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Font="1" applyFill="1" applyBorder="1" applyAlignment="1" applyProtection="1">
      <alignment horizontal="center"/>
    </xf>
    <xf numFmtId="0" fontId="29" fillId="17" borderId="0" xfId="10" applyFont="1" applyFill="1" applyProtection="1"/>
    <xf numFmtId="0" fontId="164" fillId="15" borderId="3" xfId="0" applyNumberFormat="1" applyFont="1" applyFill="1" applyBorder="1" applyAlignment="1" applyProtection="1">
      <alignment horizontal="center" vertical="center"/>
    </xf>
    <xf numFmtId="0" fontId="208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NumberFormat="1" applyFont="1" applyFill="1" applyProtection="1"/>
    <xf numFmtId="0" fontId="29" fillId="32" borderId="0" xfId="10" applyFont="1" applyFill="1" applyProtection="1"/>
    <xf numFmtId="0" fontId="12" fillId="17" borderId="0" xfId="4" quotePrefix="1" applyFont="1" applyFill="1" applyAlignment="1" applyProtection="1">
      <alignment vertical="center"/>
    </xf>
    <xf numFmtId="0" fontId="84" fillId="17" borderId="0" xfId="7" quotePrefix="1" applyFont="1" applyFill="1" applyAlignment="1" applyProtection="1">
      <alignment horizontal="left"/>
    </xf>
    <xf numFmtId="0" fontId="84" fillId="17" borderId="0" xfId="7" quotePrefix="1" applyNumberFormat="1" applyFont="1" applyFill="1" applyAlignment="1" applyProtection="1">
      <alignment horizontal="left"/>
    </xf>
    <xf numFmtId="0" fontId="206" fillId="17" borderId="0" xfId="4" quotePrefix="1" applyFont="1" applyFill="1" applyBorder="1" applyAlignment="1" applyProtection="1"/>
    <xf numFmtId="0" fontId="215" fillId="17" borderId="0" xfId="7" applyFont="1" applyFill="1" applyBorder="1" applyAlignment="1" applyProtection="1">
      <alignment horizontal="right"/>
    </xf>
    <xf numFmtId="0" fontId="216" fillId="17" borderId="0" xfId="10" applyFont="1" applyFill="1" applyBorder="1" applyAlignment="1" applyProtection="1">
      <alignment horizontal="right"/>
    </xf>
    <xf numFmtId="172" fontId="217" fillId="15" borderId="3" xfId="16" applyNumberFormat="1" applyFont="1" applyFill="1" applyBorder="1" applyAlignment="1" applyProtection="1">
      <alignment horizontal="center" vertical="center"/>
    </xf>
    <xf numFmtId="0" fontId="214" fillId="17" borderId="0" xfId="16" applyFont="1" applyFill="1" applyBorder="1" applyAlignment="1" applyProtection="1">
      <alignment horizontal="left"/>
    </xf>
    <xf numFmtId="0" fontId="6" fillId="17" borderId="0" xfId="10" applyFont="1" applyFill="1" applyBorder="1" applyAlignment="1" applyProtection="1">
      <alignment horizontal="right"/>
    </xf>
    <xf numFmtId="0" fontId="218" fillId="17" borderId="0" xfId="10" applyFont="1" applyFill="1" applyBorder="1" applyAlignment="1" applyProtection="1">
      <alignment horizontal="center"/>
    </xf>
    <xf numFmtId="175" fontId="219" fillId="17" borderId="0" xfId="17" applyNumberFormat="1" applyFont="1" applyFill="1" applyBorder="1" applyAlignment="1" applyProtection="1"/>
    <xf numFmtId="38" fontId="219" fillId="17" borderId="0" xfId="17" applyNumberFormat="1" applyFont="1" applyFill="1" applyBorder="1" applyProtection="1"/>
    <xf numFmtId="0" fontId="219" fillId="17" borderId="0" xfId="17" applyNumberFormat="1" applyFont="1" applyFill="1" applyAlignment="1" applyProtection="1"/>
    <xf numFmtId="0" fontId="215" fillId="17" borderId="0" xfId="7" quotePrefix="1" applyFont="1" applyFill="1" applyBorder="1" applyAlignment="1" applyProtection="1">
      <alignment horizontal="left"/>
    </xf>
    <xf numFmtId="0" fontId="220" fillId="17" borderId="0" xfId="7" applyFont="1" applyFill="1" applyBorder="1" applyAlignment="1" applyProtection="1"/>
    <xf numFmtId="166" fontId="221" fillId="15" borderId="3" xfId="4" applyNumberFormat="1" applyFont="1" applyFill="1" applyBorder="1" applyAlignment="1" applyProtection="1">
      <alignment horizontal="center" vertical="center"/>
    </xf>
    <xf numFmtId="0" fontId="222" fillId="35" borderId="0" xfId="7" quotePrefix="1" applyFont="1" applyFill="1" applyAlignment="1" applyProtection="1">
      <alignment horizontal="center"/>
    </xf>
    <xf numFmtId="166" fontId="99" fillId="15" borderId="3" xfId="4" applyNumberFormat="1" applyFont="1" applyFill="1" applyBorder="1" applyAlignment="1" applyProtection="1">
      <alignment horizontal="center" vertical="center"/>
    </xf>
    <xf numFmtId="0" fontId="32" fillId="17" borderId="0" xfId="7" applyNumberFormat="1" applyFont="1" applyFill="1" applyBorder="1" applyProtection="1"/>
    <xf numFmtId="0" fontId="32" fillId="17" borderId="0" xfId="7" applyFont="1" applyFill="1" applyBorder="1" applyProtection="1"/>
    <xf numFmtId="0" fontId="54" fillId="17" borderId="47" xfId="7" applyFont="1" applyFill="1" applyBorder="1" applyProtection="1"/>
    <xf numFmtId="165" fontId="54" fillId="17" borderId="0" xfId="7" applyNumberFormat="1" applyFont="1" applyFill="1" applyBorder="1" applyProtection="1"/>
    <xf numFmtId="0" fontId="54" fillId="17" borderId="47" xfId="7" applyNumberFormat="1" applyFont="1" applyFill="1" applyBorder="1" applyProtection="1"/>
    <xf numFmtId="165" fontId="54" fillId="17" borderId="0" xfId="7" applyNumberFormat="1" applyFont="1" applyFill="1" applyBorder="1" applyAlignment="1" applyProtection="1">
      <alignment horizontal="left"/>
    </xf>
    <xf numFmtId="178" fontId="54" fillId="15" borderId="95" xfId="7" quotePrefix="1" applyNumberFormat="1" applyFont="1" applyFill="1" applyBorder="1" applyAlignment="1" applyProtection="1">
      <alignment horizontal="center"/>
    </xf>
    <xf numFmtId="178" fontId="54" fillId="15" borderId="96" xfId="7" quotePrefix="1" applyNumberFormat="1" applyFont="1" applyFill="1" applyBorder="1" applyAlignment="1" applyProtection="1">
      <alignment horizontal="center"/>
    </xf>
    <xf numFmtId="178" fontId="54" fillId="15" borderId="97" xfId="7" quotePrefix="1" applyNumberFormat="1" applyFont="1" applyFill="1" applyBorder="1" applyAlignment="1" applyProtection="1">
      <alignment horizontal="center"/>
    </xf>
    <xf numFmtId="178" fontId="223" fillId="19" borderId="117" xfId="7" quotePrefix="1" applyNumberFormat="1" applyFont="1" applyFill="1" applyBorder="1" applyAlignment="1" applyProtection="1">
      <alignment horizontal="center" wrapText="1"/>
    </xf>
    <xf numFmtId="178" fontId="224" fillId="19" borderId="117" xfId="7" quotePrefix="1" applyNumberFormat="1" applyFont="1" applyFill="1" applyBorder="1" applyAlignment="1" applyProtection="1">
      <alignment horizontal="center" vertical="center" wrapText="1"/>
    </xf>
    <xf numFmtId="178" fontId="225" fillId="37" borderId="117" xfId="7" quotePrefix="1" applyNumberFormat="1" applyFont="1" applyFill="1" applyBorder="1" applyAlignment="1" applyProtection="1">
      <alignment horizontal="center" vertical="center" wrapText="1"/>
    </xf>
    <xf numFmtId="178" fontId="166" fillId="37" borderId="117" xfId="7" quotePrefix="1" applyNumberFormat="1" applyFont="1" applyFill="1" applyBorder="1" applyAlignment="1" applyProtection="1">
      <alignment horizontal="center" vertical="center" wrapText="1"/>
    </xf>
    <xf numFmtId="178" fontId="226" fillId="38" borderId="117" xfId="7" quotePrefix="1" applyNumberFormat="1" applyFont="1" applyFill="1" applyBorder="1" applyAlignment="1" applyProtection="1">
      <alignment horizontal="center" wrapText="1"/>
    </xf>
    <xf numFmtId="178" fontId="54" fillId="15" borderId="127" xfId="7" quotePrefix="1" applyNumberFormat="1" applyFont="1" applyFill="1" applyBorder="1" applyAlignment="1" applyProtection="1">
      <alignment horizontal="center" wrapText="1"/>
    </xf>
    <xf numFmtId="165" fontId="54" fillId="17" borderId="17" xfId="7" applyNumberFormat="1" applyFont="1" applyFill="1" applyBorder="1" applyAlignment="1" applyProtection="1">
      <alignment horizontal="center" vertical="center" wrapText="1"/>
    </xf>
    <xf numFmtId="0" fontId="88" fillId="15" borderId="117" xfId="7" quotePrefix="1" applyNumberFormat="1" applyFont="1" applyFill="1" applyBorder="1" applyAlignment="1" applyProtection="1">
      <alignment horizontal="center" wrapText="1"/>
    </xf>
    <xf numFmtId="0" fontId="54" fillId="15" borderId="117" xfId="7" quotePrefix="1" applyNumberFormat="1" applyFont="1" applyFill="1" applyBorder="1" applyAlignment="1" applyProtection="1">
      <alignment horizontal="center" wrapText="1"/>
    </xf>
    <xf numFmtId="0" fontId="55" fillId="15" borderId="122" xfId="7" quotePrefix="1" applyFont="1" applyFill="1" applyBorder="1" applyAlignment="1" applyProtection="1">
      <alignment horizontal="left" vertical="top"/>
    </xf>
    <xf numFmtId="0" fontId="55" fillId="15" borderId="47" xfId="7" quotePrefix="1" applyFont="1" applyFill="1" applyBorder="1" applyAlignment="1" applyProtection="1">
      <alignment horizontal="center" vertical="top"/>
    </xf>
    <xf numFmtId="0" fontId="55" fillId="15" borderId="48" xfId="7" quotePrefix="1" applyFont="1" applyFill="1" applyBorder="1" applyAlignment="1" applyProtection="1">
      <alignment horizontal="center" vertical="top"/>
    </xf>
    <xf numFmtId="179" fontId="223" fillId="19" borderId="123" xfId="7" quotePrefix="1" applyNumberFormat="1" applyFont="1" applyFill="1" applyBorder="1" applyAlignment="1" applyProtection="1">
      <alignment horizontal="center"/>
    </xf>
    <xf numFmtId="166" fontId="227" fillId="19" borderId="123" xfId="7" quotePrefix="1" applyNumberFormat="1" applyFont="1" applyFill="1" applyBorder="1" applyAlignment="1" applyProtection="1">
      <alignment horizontal="center"/>
    </xf>
    <xf numFmtId="179" fontId="168" fillId="37" borderId="123" xfId="7" quotePrefix="1" applyNumberFormat="1" applyFont="1" applyFill="1" applyBorder="1" applyAlignment="1" applyProtection="1">
      <alignment horizontal="center"/>
    </xf>
    <xf numFmtId="166" fontId="166" fillId="37" borderId="123" xfId="7" quotePrefix="1" applyNumberFormat="1" applyFont="1" applyFill="1" applyBorder="1" applyAlignment="1" applyProtection="1">
      <alignment horizontal="center"/>
    </xf>
    <xf numFmtId="166" fontId="84" fillId="17" borderId="0" xfId="7" applyNumberFormat="1" applyFont="1" applyFill="1" applyAlignment="1" applyProtection="1">
      <alignment horizontal="right"/>
    </xf>
    <xf numFmtId="166" fontId="226" fillId="38" borderId="123" xfId="7" quotePrefix="1" applyNumberFormat="1" applyFont="1" applyFill="1" applyBorder="1" applyAlignment="1" applyProtection="1">
      <alignment horizontal="center"/>
    </xf>
    <xf numFmtId="166" fontId="54" fillId="15" borderId="128" xfId="7" quotePrefix="1" applyNumberFormat="1" applyFont="1" applyFill="1" applyBorder="1" applyAlignment="1" applyProtection="1">
      <alignment horizontal="center"/>
    </xf>
    <xf numFmtId="0" fontId="54" fillId="17" borderId="17" xfId="7" applyFont="1" applyFill="1" applyBorder="1" applyAlignment="1" applyProtection="1">
      <alignment horizontal="center"/>
    </xf>
    <xf numFmtId="179" fontId="32" fillId="15" borderId="123" xfId="7" quotePrefix="1" applyNumberFormat="1" applyFont="1" applyFill="1" applyBorder="1" applyAlignment="1" applyProtection="1">
      <alignment horizontal="center"/>
    </xf>
    <xf numFmtId="0" fontId="32" fillId="17" borderId="0" xfId="7" applyFont="1" applyFill="1" applyProtection="1"/>
    <xf numFmtId="0" fontId="32" fillId="15" borderId="11" xfId="7" applyFont="1" applyFill="1" applyBorder="1" applyAlignment="1" applyProtection="1">
      <alignment horizontal="left"/>
    </xf>
    <xf numFmtId="0" fontId="32" fillId="15" borderId="0" xfId="7" applyFont="1" applyFill="1" applyBorder="1" applyAlignment="1" applyProtection="1">
      <alignment horizontal="center"/>
    </xf>
    <xf numFmtId="0" fontId="32" fillId="15" borderId="2" xfId="7" applyFont="1" applyFill="1" applyBorder="1" applyAlignment="1" applyProtection="1">
      <alignment horizontal="center"/>
    </xf>
    <xf numFmtId="0" fontId="32" fillId="15" borderId="52" xfId="7" quotePrefix="1" applyFont="1" applyFill="1" applyBorder="1" applyAlignment="1" applyProtection="1">
      <alignment horizontal="center"/>
    </xf>
    <xf numFmtId="0" fontId="54" fillId="15" borderId="52" xfId="7" quotePrefix="1" applyFont="1" applyFill="1" applyBorder="1" applyAlignment="1" applyProtection="1">
      <alignment horizontal="center"/>
    </xf>
    <xf numFmtId="0" fontId="54" fillId="15" borderId="129" xfId="7" quotePrefix="1" applyFont="1" applyFill="1" applyBorder="1" applyAlignment="1" applyProtection="1">
      <alignment horizontal="center"/>
    </xf>
    <xf numFmtId="0" fontId="83" fillId="17" borderId="17" xfId="7" applyFont="1" applyFill="1" applyBorder="1" applyProtection="1"/>
    <xf numFmtId="0" fontId="32" fillId="15" borderId="52" xfId="7" quotePrefix="1" applyNumberFormat="1" applyFont="1" applyFill="1" applyBorder="1" applyAlignment="1" applyProtection="1">
      <alignment horizontal="center"/>
    </xf>
    <xf numFmtId="0" fontId="54" fillId="15" borderId="52" xfId="7" quotePrefix="1" applyNumberFormat="1" applyFont="1" applyFill="1" applyBorder="1" applyAlignment="1" applyProtection="1">
      <alignment horizontal="center"/>
    </xf>
    <xf numFmtId="0" fontId="85" fillId="15" borderId="31" xfId="7" quotePrefix="1" applyFont="1" applyFill="1" applyBorder="1" applyAlignment="1" applyProtection="1">
      <alignment horizontal="left"/>
    </xf>
    <xf numFmtId="0" fontId="85" fillId="15" borderId="16" xfId="7" quotePrefix="1" applyFont="1" applyFill="1" applyBorder="1" applyAlignment="1" applyProtection="1">
      <alignment horizontal="left"/>
    </xf>
    <xf numFmtId="0" fontId="85" fillId="15" borderId="88" xfId="7" quotePrefix="1" applyFont="1" applyFill="1" applyBorder="1" applyAlignment="1" applyProtection="1">
      <alignment horizontal="left"/>
    </xf>
    <xf numFmtId="0" fontId="228" fillId="17" borderId="0" xfId="7" applyFont="1" applyFill="1" applyBorder="1" applyProtection="1"/>
    <xf numFmtId="38" fontId="60" fillId="15" borderId="17" xfId="17" applyNumberFormat="1" applyFont="1" applyFill="1" applyBorder="1" applyAlignment="1" applyProtection="1"/>
    <xf numFmtId="38" fontId="60" fillId="15" borderId="0" xfId="17" applyNumberFormat="1" applyFont="1" applyFill="1" applyBorder="1" applyAlignment="1" applyProtection="1"/>
    <xf numFmtId="38" fontId="60" fillId="15" borderId="2" xfId="17" applyNumberFormat="1" applyFont="1" applyFill="1" applyBorder="1" applyAlignment="1" applyProtection="1"/>
    <xf numFmtId="180" fontId="32" fillId="15" borderId="90" xfId="7" applyNumberFormat="1" applyFont="1" applyFill="1" applyBorder="1" applyAlignment="1" applyProtection="1"/>
    <xf numFmtId="180" fontId="54" fillId="15" borderId="90" xfId="7" applyNumberFormat="1" applyFont="1" applyFill="1" applyBorder="1" applyAlignment="1" applyProtection="1"/>
    <xf numFmtId="180" fontId="84" fillId="17" borderId="0" xfId="7" applyNumberFormat="1" applyFont="1" applyFill="1" applyAlignment="1" applyProtection="1">
      <alignment horizontal="right"/>
    </xf>
    <xf numFmtId="180" fontId="32" fillId="15" borderId="130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>
      <alignment horizontal="right"/>
    </xf>
    <xf numFmtId="38" fontId="6" fillId="15" borderId="17" xfId="17" applyNumberFormat="1" applyFont="1" applyFill="1" applyBorder="1" applyAlignment="1" applyProtection="1"/>
    <xf numFmtId="38" fontId="6" fillId="15" borderId="0" xfId="17" applyNumberFormat="1" applyFont="1" applyFill="1" applyBorder="1" applyAlignment="1" applyProtection="1"/>
    <xf numFmtId="38" fontId="6" fillId="15" borderId="2" xfId="17" applyNumberFormat="1" applyFont="1" applyFill="1" applyBorder="1" applyAlignment="1" applyProtection="1"/>
    <xf numFmtId="180" fontId="32" fillId="15" borderId="73" xfId="7" applyNumberFormat="1" applyFont="1" applyFill="1" applyBorder="1" applyAlignment="1" applyProtection="1"/>
    <xf numFmtId="180" fontId="54" fillId="15" borderId="73" xfId="7" applyNumberFormat="1" applyFont="1" applyFill="1" applyBorder="1" applyAlignment="1" applyProtection="1"/>
    <xf numFmtId="180" fontId="32" fillId="15" borderId="131" xfId="7" applyNumberFormat="1" applyFont="1" applyFill="1" applyBorder="1" applyAlignment="1" applyProtection="1"/>
    <xf numFmtId="38" fontId="3" fillId="15" borderId="132" xfId="17" applyNumberFormat="1" applyFont="1" applyFill="1" applyBorder="1" applyAlignment="1" applyProtection="1"/>
    <xf numFmtId="38" fontId="3" fillId="15" borderId="99" xfId="17" applyNumberFormat="1" applyFont="1" applyFill="1" applyBorder="1" applyAlignment="1" applyProtection="1"/>
    <xf numFmtId="38" fontId="3" fillId="15" borderId="133" xfId="17" applyNumberFormat="1" applyFont="1" applyFill="1" applyBorder="1" applyAlignment="1" applyProtection="1"/>
    <xf numFmtId="180" fontId="32" fillId="15" borderId="120" xfId="7" applyNumberFormat="1" applyFont="1" applyFill="1" applyBorder="1" applyAlignment="1" applyProtection="1"/>
    <xf numFmtId="180" fontId="54" fillId="15" borderId="120" xfId="7" applyNumberFormat="1" applyFont="1" applyFill="1" applyBorder="1" applyAlignment="1" applyProtection="1"/>
    <xf numFmtId="180" fontId="54" fillId="15" borderId="134" xfId="7" applyNumberFormat="1" applyFont="1" applyFill="1" applyBorder="1" applyAlignment="1" applyProtection="1"/>
    <xf numFmtId="38" fontId="3" fillId="15" borderId="115" xfId="17" applyNumberFormat="1" applyFont="1" applyFill="1" applyBorder="1" applyAlignment="1" applyProtection="1"/>
    <xf numFmtId="38" fontId="3" fillId="15" borderId="23" xfId="17" applyNumberFormat="1" applyFont="1" applyFill="1" applyBorder="1" applyAlignment="1" applyProtection="1"/>
    <xf numFmtId="38" fontId="3" fillId="15" borderId="102" xfId="17" applyNumberFormat="1" applyFont="1" applyFill="1" applyBorder="1" applyAlignment="1" applyProtection="1"/>
    <xf numFmtId="180" fontId="32" fillId="15" borderId="55" xfId="7" applyNumberFormat="1" applyFont="1" applyFill="1" applyBorder="1" applyAlignment="1" applyProtection="1"/>
    <xf numFmtId="180" fontId="54" fillId="15" borderId="55" xfId="7" applyNumberFormat="1" applyFont="1" applyFill="1" applyBorder="1" applyAlignment="1" applyProtection="1"/>
    <xf numFmtId="180" fontId="54" fillId="15" borderId="135" xfId="7" applyNumberFormat="1" applyFont="1" applyFill="1" applyBorder="1" applyAlignment="1" applyProtection="1"/>
    <xf numFmtId="38" fontId="3" fillId="15" borderId="113" xfId="17" applyNumberFormat="1" applyFont="1" applyFill="1" applyBorder="1" applyAlignment="1" applyProtection="1"/>
    <xf numFmtId="38" fontId="3" fillId="15" borderId="32" xfId="17" applyNumberFormat="1" applyFont="1" applyFill="1" applyBorder="1" applyAlignment="1" applyProtection="1"/>
    <xf numFmtId="38" fontId="3" fillId="15" borderId="39" xfId="17" applyNumberFormat="1" applyFont="1" applyFill="1" applyBorder="1" applyAlignment="1" applyProtection="1"/>
    <xf numFmtId="180" fontId="32" fillId="15" borderId="57" xfId="7" applyNumberFormat="1" applyFont="1" applyFill="1" applyBorder="1" applyAlignment="1" applyProtection="1"/>
    <xf numFmtId="180" fontId="54" fillId="15" borderId="57" xfId="7" applyNumberFormat="1" applyFont="1" applyFill="1" applyBorder="1" applyAlignment="1" applyProtection="1"/>
    <xf numFmtId="180" fontId="54" fillId="15" borderId="136" xfId="7" applyNumberFormat="1" applyFont="1" applyFill="1" applyBorder="1" applyAlignment="1" applyProtection="1"/>
    <xf numFmtId="38" fontId="6" fillId="8" borderId="31" xfId="17" applyNumberFormat="1" applyFont="1" applyFill="1" applyBorder="1" applyAlignment="1" applyProtection="1"/>
    <xf numFmtId="38" fontId="6" fillId="8" borderId="16" xfId="17" applyNumberFormat="1" applyFont="1" applyFill="1" applyBorder="1" applyAlignment="1" applyProtection="1"/>
    <xf numFmtId="38" fontId="6" fillId="8" borderId="88" xfId="17" applyNumberFormat="1" applyFont="1" applyFill="1" applyBorder="1" applyAlignment="1" applyProtection="1"/>
    <xf numFmtId="180" fontId="32" fillId="17" borderId="52" xfId="7" applyNumberFormat="1" applyFont="1" applyFill="1" applyBorder="1" applyAlignment="1" applyProtection="1"/>
    <xf numFmtId="180" fontId="54" fillId="17" borderId="52" xfId="7" applyNumberFormat="1" applyFont="1" applyFill="1" applyBorder="1" applyAlignment="1" applyProtection="1"/>
    <xf numFmtId="180" fontId="54" fillId="17" borderId="129" xfId="7" applyNumberFormat="1" applyFont="1" applyFill="1" applyBorder="1" applyAlignment="1" applyProtection="1"/>
    <xf numFmtId="180" fontId="54" fillId="15" borderId="130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left"/>
    </xf>
    <xf numFmtId="0" fontId="32" fillId="15" borderId="50" xfId="7" applyFont="1" applyFill="1" applyBorder="1" applyAlignment="1" applyProtection="1">
      <alignment horizontal="left"/>
    </xf>
    <xf numFmtId="0" fontId="32" fillId="15" borderId="51" xfId="7" applyFont="1" applyFill="1" applyBorder="1" applyAlignment="1" applyProtection="1">
      <alignment horizontal="left"/>
    </xf>
    <xf numFmtId="180" fontId="54" fillId="15" borderId="131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center"/>
    </xf>
    <xf numFmtId="0" fontId="32" fillId="15" borderId="19" xfId="7" applyFont="1" applyFill="1" applyBorder="1" applyAlignment="1" applyProtection="1">
      <alignment horizontal="center"/>
    </xf>
    <xf numFmtId="0" fontId="32" fillId="15" borderId="137" xfId="7" applyFont="1" applyFill="1" applyBorder="1" applyAlignment="1" applyProtection="1">
      <alignment horizontal="center"/>
    </xf>
    <xf numFmtId="38" fontId="6" fillId="21" borderId="49" xfId="17" applyNumberFormat="1" applyFont="1" applyFill="1" applyBorder="1" applyAlignment="1" applyProtection="1"/>
    <xf numFmtId="38" fontId="6" fillId="21" borderId="0" xfId="17" applyNumberFormat="1" applyFont="1" applyFill="1" applyBorder="1" applyAlignment="1" applyProtection="1"/>
    <xf numFmtId="38" fontId="6" fillId="21" borderId="2" xfId="17" applyNumberFormat="1" applyFont="1" applyFill="1" applyBorder="1" applyAlignment="1" applyProtection="1"/>
    <xf numFmtId="180" fontId="32" fillId="21" borderId="90" xfId="7" applyNumberFormat="1" applyFont="1" applyFill="1" applyBorder="1" applyAlignment="1" applyProtection="1"/>
    <xf numFmtId="180" fontId="54" fillId="21" borderId="90" xfId="7" applyNumberFormat="1" applyFont="1" applyFill="1" applyBorder="1" applyAlignment="1" applyProtection="1"/>
    <xf numFmtId="180" fontId="54" fillId="21" borderId="130" xfId="7" applyNumberFormat="1" applyFont="1" applyFill="1" applyBorder="1" applyAlignment="1" applyProtection="1"/>
    <xf numFmtId="38" fontId="6" fillId="21" borderId="49" xfId="17" applyNumberFormat="1" applyFont="1" applyFill="1" applyBorder="1" applyAlignment="1" applyProtection="1">
      <alignment horizontal="center"/>
    </xf>
    <xf numFmtId="38" fontId="6" fillId="21" borderId="50" xfId="17" applyNumberFormat="1" applyFont="1" applyFill="1" applyBorder="1" applyAlignment="1" applyProtection="1">
      <alignment horizontal="center"/>
    </xf>
    <xf numFmtId="38" fontId="6" fillId="21" borderId="51" xfId="17" applyNumberFormat="1" applyFont="1" applyFill="1" applyBorder="1" applyAlignment="1" applyProtection="1">
      <alignment horizontal="center"/>
    </xf>
    <xf numFmtId="38" fontId="3" fillId="21" borderId="132" xfId="17" applyNumberFormat="1" applyFont="1" applyFill="1" applyBorder="1" applyAlignment="1" applyProtection="1"/>
    <xf numFmtId="38" fontId="3" fillId="21" borderId="0" xfId="17" applyNumberFormat="1" applyFont="1" applyFill="1" applyBorder="1" applyAlignment="1" applyProtection="1"/>
    <xf numFmtId="38" fontId="3" fillId="21" borderId="2" xfId="17" applyNumberFormat="1" applyFont="1" applyFill="1" applyBorder="1" applyAlignment="1" applyProtection="1"/>
    <xf numFmtId="180" fontId="32" fillId="21" borderId="120" xfId="7" applyNumberFormat="1" applyFont="1" applyFill="1" applyBorder="1" applyAlignment="1" applyProtection="1"/>
    <xf numFmtId="180" fontId="54" fillId="21" borderId="120" xfId="7" applyNumberFormat="1" applyFont="1" applyFill="1" applyBorder="1" applyAlignment="1" applyProtection="1"/>
    <xf numFmtId="180" fontId="54" fillId="21" borderId="134" xfId="7" applyNumberFormat="1" applyFont="1" applyFill="1" applyBorder="1" applyAlignment="1" applyProtection="1"/>
    <xf numFmtId="38" fontId="3" fillId="21" borderId="132" xfId="17" applyNumberFormat="1" applyFont="1" applyFill="1" applyBorder="1" applyAlignment="1" applyProtection="1">
      <alignment horizontal="center"/>
    </xf>
    <xf numFmtId="38" fontId="3" fillId="21" borderId="99" xfId="17" applyNumberFormat="1" applyFont="1" applyFill="1" applyBorder="1" applyAlignment="1" applyProtection="1">
      <alignment horizontal="center"/>
    </xf>
    <xf numFmtId="38" fontId="3" fillId="21" borderId="133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/>
    <xf numFmtId="180" fontId="32" fillId="21" borderId="55" xfId="7" applyNumberFormat="1" applyFont="1" applyFill="1" applyBorder="1" applyAlignment="1" applyProtection="1"/>
    <xf numFmtId="180" fontId="54" fillId="21" borderId="55" xfId="7" applyNumberFormat="1" applyFont="1" applyFill="1" applyBorder="1" applyAlignment="1" applyProtection="1"/>
    <xf numFmtId="180" fontId="54" fillId="21" borderId="135" xfId="7" applyNumberFormat="1" applyFont="1" applyFill="1" applyBorder="1" applyAlignment="1" applyProtection="1"/>
    <xf numFmtId="38" fontId="3" fillId="21" borderId="115" xfId="17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>
      <alignment horizontal="center"/>
    </xf>
    <xf numFmtId="38" fontId="3" fillId="21" borderId="102" xfId="17" applyNumberFormat="1" applyFont="1" applyFill="1" applyBorder="1" applyAlignment="1" applyProtection="1">
      <alignment horizontal="center"/>
    </xf>
    <xf numFmtId="38" fontId="3" fillId="21" borderId="116" xfId="17" applyNumberFormat="1" applyFont="1" applyFill="1" applyBorder="1" applyAlignment="1" applyProtection="1"/>
    <xf numFmtId="180" fontId="32" fillId="21" borderId="57" xfId="7" applyNumberFormat="1" applyFont="1" applyFill="1" applyBorder="1" applyAlignment="1" applyProtection="1"/>
    <xf numFmtId="180" fontId="54" fillId="21" borderId="57" xfId="7" applyNumberFormat="1" applyFont="1" applyFill="1" applyBorder="1" applyAlignment="1" applyProtection="1"/>
    <xf numFmtId="180" fontId="54" fillId="21" borderId="136" xfId="7" applyNumberFormat="1" applyFont="1" applyFill="1" applyBorder="1" applyAlignment="1" applyProtection="1"/>
    <xf numFmtId="38" fontId="3" fillId="21" borderId="116" xfId="17" applyNumberFormat="1" applyFont="1" applyFill="1" applyBorder="1" applyAlignment="1" applyProtection="1">
      <alignment horizontal="center"/>
    </xf>
    <xf numFmtId="38" fontId="3" fillId="21" borderId="38" xfId="17" applyNumberFormat="1" applyFont="1" applyFill="1" applyBorder="1" applyAlignment="1" applyProtection="1">
      <alignment horizontal="center"/>
    </xf>
    <xf numFmtId="38" fontId="3" fillId="21" borderId="13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/>
    <xf numFmtId="38" fontId="14" fillId="21" borderId="19" xfId="17" applyNumberFormat="1" applyFont="1" applyFill="1" applyBorder="1" applyAlignment="1" applyProtection="1"/>
    <xf numFmtId="38" fontId="14" fillId="21" borderId="137" xfId="17" applyNumberFormat="1" applyFont="1" applyFill="1" applyBorder="1" applyAlignment="1" applyProtection="1"/>
    <xf numFmtId="180" fontId="88" fillId="21" borderId="53" xfId="7" applyNumberFormat="1" applyFont="1" applyFill="1" applyBorder="1" applyAlignment="1" applyProtection="1"/>
    <xf numFmtId="180" fontId="92" fillId="21" borderId="53" xfId="7" applyNumberFormat="1" applyFont="1" applyFill="1" applyBorder="1" applyAlignment="1" applyProtection="1"/>
    <xf numFmtId="180" fontId="92" fillId="21" borderId="139" xfId="7" applyNumberFormat="1" applyFont="1" applyFill="1" applyBorder="1" applyAlignment="1" applyProtection="1"/>
    <xf numFmtId="38" fontId="14" fillId="21" borderId="115" xfId="17" applyNumberFormat="1" applyFont="1" applyFill="1" applyBorder="1" applyAlignment="1" applyProtection="1"/>
    <xf numFmtId="38" fontId="14" fillId="21" borderId="23" xfId="17" applyNumberFormat="1" applyFont="1" applyFill="1" applyBorder="1" applyAlignment="1" applyProtection="1"/>
    <xf numFmtId="38" fontId="14" fillId="21" borderId="102" xfId="17" applyNumberFormat="1" applyFont="1" applyFill="1" applyBorder="1" applyAlignment="1" applyProtection="1"/>
    <xf numFmtId="180" fontId="88" fillId="21" borderId="55" xfId="7" applyNumberFormat="1" applyFont="1" applyFill="1" applyBorder="1" applyAlignment="1" applyProtection="1"/>
    <xf numFmtId="180" fontId="92" fillId="21" borderId="55" xfId="7" applyNumberFormat="1" applyFont="1" applyFill="1" applyBorder="1" applyAlignment="1" applyProtection="1"/>
    <xf numFmtId="180" fontId="92" fillId="21" borderId="135" xfId="7" applyNumberFormat="1" applyFont="1" applyFill="1" applyBorder="1" applyAlignment="1" applyProtection="1"/>
    <xf numFmtId="38" fontId="14" fillId="21" borderId="113" xfId="17" applyNumberFormat="1" applyFont="1" applyFill="1" applyBorder="1" applyAlignment="1" applyProtection="1"/>
    <xf numFmtId="38" fontId="14" fillId="21" borderId="32" xfId="17" applyNumberFormat="1" applyFont="1" applyFill="1" applyBorder="1" applyAlignment="1" applyProtection="1"/>
    <xf numFmtId="38" fontId="14" fillId="21" borderId="39" xfId="17" applyNumberFormat="1" applyFont="1" applyFill="1" applyBorder="1" applyAlignment="1" applyProtection="1"/>
    <xf numFmtId="180" fontId="88" fillId="21" borderId="54" xfId="7" applyNumberFormat="1" applyFont="1" applyFill="1" applyBorder="1" applyAlignment="1" applyProtection="1"/>
    <xf numFmtId="180" fontId="92" fillId="21" borderId="54" xfId="7" applyNumberFormat="1" applyFont="1" applyFill="1" applyBorder="1" applyAlignment="1" applyProtection="1"/>
    <xf numFmtId="180" fontId="92" fillId="21" borderId="140" xfId="7" applyNumberFormat="1" applyFont="1" applyFill="1" applyBorder="1" applyAlignment="1" applyProtection="1"/>
    <xf numFmtId="0" fontId="32" fillId="15" borderId="31" xfId="7" applyFont="1" applyFill="1" applyBorder="1" applyAlignment="1" applyProtection="1">
      <alignment horizontal="left"/>
    </xf>
    <xf numFmtId="0" fontId="32" fillId="15" borderId="16" xfId="7" applyFont="1" applyFill="1" applyBorder="1" applyAlignment="1" applyProtection="1">
      <alignment horizontal="left"/>
    </xf>
    <xf numFmtId="0" fontId="32" fillId="15" borderId="2" xfId="7" applyFont="1" applyFill="1" applyBorder="1" applyAlignment="1" applyProtection="1">
      <alignment horizontal="left"/>
    </xf>
    <xf numFmtId="0" fontId="32" fillId="15" borderId="31" xfId="7" applyFont="1" applyFill="1" applyBorder="1" applyAlignment="1" applyProtection="1">
      <alignment horizontal="center"/>
    </xf>
    <xf numFmtId="0" fontId="32" fillId="15" borderId="16" xfId="7" applyFont="1" applyFill="1" applyBorder="1" applyAlignment="1" applyProtection="1">
      <alignment horizontal="center"/>
    </xf>
    <xf numFmtId="0" fontId="32" fillId="15" borderId="88" xfId="7" applyFont="1" applyFill="1" applyBorder="1" applyAlignment="1" applyProtection="1">
      <alignment horizontal="center"/>
    </xf>
    <xf numFmtId="0" fontId="32" fillId="15" borderId="49" xfId="7" applyFont="1" applyFill="1" applyBorder="1" applyAlignment="1" applyProtection="1">
      <alignment horizontal="left"/>
    </xf>
    <xf numFmtId="0" fontId="32" fillId="15" borderId="49" xfId="7" applyFont="1" applyFill="1" applyBorder="1" applyAlignment="1" applyProtection="1">
      <alignment horizontal="center"/>
    </xf>
    <xf numFmtId="0" fontId="32" fillId="15" borderId="50" xfId="7" applyFont="1" applyFill="1" applyBorder="1" applyAlignment="1" applyProtection="1">
      <alignment horizontal="center"/>
    </xf>
    <xf numFmtId="0" fontId="32" fillId="15" borderId="51" xfId="7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left"/>
    </xf>
    <xf numFmtId="0" fontId="54" fillId="19" borderId="142" xfId="7" applyFont="1" applyFill="1" applyBorder="1" applyAlignment="1" applyProtection="1">
      <alignment horizontal="left"/>
    </xf>
    <xf numFmtId="0" fontId="54" fillId="19" borderId="143" xfId="7" applyFont="1" applyFill="1" applyBorder="1" applyAlignment="1" applyProtection="1">
      <alignment horizontal="left"/>
    </xf>
    <xf numFmtId="180" fontId="32" fillId="19" borderId="121" xfId="7" applyNumberFormat="1" applyFont="1" applyFill="1" applyBorder="1" applyAlignment="1" applyProtection="1"/>
    <xf numFmtId="180" fontId="54" fillId="19" borderId="121" xfId="7" applyNumberFormat="1" applyFont="1" applyFill="1" applyBorder="1" applyAlignment="1" applyProtection="1"/>
    <xf numFmtId="180" fontId="54" fillId="19" borderId="144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/>
    <xf numFmtId="0" fontId="84" fillId="17" borderId="0" xfId="7" applyFont="1" applyFill="1" applyBorder="1" applyAlignment="1" applyProtection="1">
      <alignment horizontal="right"/>
    </xf>
    <xf numFmtId="38" fontId="6" fillId="24" borderId="31" xfId="17" applyNumberFormat="1" applyFont="1" applyFill="1" applyBorder="1" applyAlignment="1" applyProtection="1"/>
    <xf numFmtId="38" fontId="6" fillId="24" borderId="16" xfId="17" applyNumberFormat="1" applyFont="1" applyFill="1" applyBorder="1" applyAlignment="1" applyProtection="1"/>
    <xf numFmtId="38" fontId="6" fillId="24" borderId="88" xfId="17" applyNumberFormat="1" applyFont="1" applyFill="1" applyBorder="1" applyAlignment="1" applyProtection="1"/>
    <xf numFmtId="180" fontId="32" fillId="24" borderId="52" xfId="7" applyNumberFormat="1" applyFont="1" applyFill="1" applyBorder="1" applyAlignment="1" applyProtection="1"/>
    <xf numFmtId="180" fontId="54" fillId="24" borderId="52" xfId="7" applyNumberFormat="1" applyFont="1" applyFill="1" applyBorder="1" applyAlignment="1" applyProtection="1"/>
    <xf numFmtId="180" fontId="54" fillId="24" borderId="129" xfId="7" applyNumberFormat="1" applyFont="1" applyFill="1" applyBorder="1" applyAlignment="1" applyProtection="1"/>
    <xf numFmtId="180" fontId="32" fillId="15" borderId="54" xfId="7" applyNumberFormat="1" applyFont="1" applyFill="1" applyBorder="1" applyAlignment="1" applyProtection="1"/>
    <xf numFmtId="180" fontId="54" fillId="15" borderId="54" xfId="7" applyNumberFormat="1" applyFont="1" applyFill="1" applyBorder="1" applyAlignment="1" applyProtection="1"/>
    <xf numFmtId="180" fontId="54" fillId="15" borderId="140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/>
    <xf numFmtId="38" fontId="14" fillId="21" borderId="16" xfId="17" applyNumberFormat="1" applyFont="1" applyFill="1" applyBorder="1" applyAlignment="1" applyProtection="1"/>
    <xf numFmtId="38" fontId="14" fillId="21" borderId="88" xfId="17" applyNumberFormat="1" applyFont="1" applyFill="1" applyBorder="1" applyAlignment="1" applyProtection="1"/>
    <xf numFmtId="180" fontId="88" fillId="21" borderId="10" xfId="7" applyNumberFormat="1" applyFont="1" applyFill="1" applyBorder="1" applyAlignment="1" applyProtection="1"/>
    <xf numFmtId="180" fontId="92" fillId="21" borderId="10" xfId="7" applyNumberFormat="1" applyFont="1" applyFill="1" applyBorder="1" applyAlignment="1" applyProtection="1"/>
    <xf numFmtId="180" fontId="92" fillId="21" borderId="129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>
      <alignment horizontal="center"/>
    </xf>
    <xf numFmtId="38" fontId="14" fillId="21" borderId="16" xfId="17" applyNumberFormat="1" applyFont="1" applyFill="1" applyBorder="1" applyAlignment="1" applyProtection="1">
      <alignment horizontal="center"/>
    </xf>
    <xf numFmtId="38" fontId="14" fillId="21" borderId="88" xfId="17" applyNumberFormat="1" applyFont="1" applyFill="1" applyBorder="1" applyAlignment="1" applyProtection="1">
      <alignment horizontal="center"/>
    </xf>
    <xf numFmtId="38" fontId="6" fillId="15" borderId="49" xfId="17" applyNumberFormat="1" applyFont="1" applyFill="1" applyBorder="1" applyAlignment="1" applyProtection="1"/>
    <xf numFmtId="38" fontId="6" fillId="15" borderId="50" xfId="17" applyNumberFormat="1" applyFont="1" applyFill="1" applyBorder="1" applyAlignment="1" applyProtection="1"/>
    <xf numFmtId="38" fontId="6" fillId="15" borderId="51" xfId="17" applyNumberFormat="1" applyFont="1" applyFill="1" applyBorder="1" applyAlignment="1" applyProtection="1"/>
    <xf numFmtId="38" fontId="6" fillId="15" borderId="49" xfId="17" applyNumberFormat="1" applyFont="1" applyFill="1" applyBorder="1" applyAlignment="1" applyProtection="1">
      <alignment horizontal="center"/>
    </xf>
    <xf numFmtId="38" fontId="6" fillId="15" borderId="50" xfId="17" applyNumberFormat="1" applyFont="1" applyFill="1" applyBorder="1" applyAlignment="1" applyProtection="1">
      <alignment horizontal="center"/>
    </xf>
    <xf numFmtId="38" fontId="6" fillId="15" borderId="51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left"/>
    </xf>
    <xf numFmtId="0" fontId="54" fillId="39" borderId="142" xfId="7" quotePrefix="1" applyFont="1" applyFill="1" applyBorder="1" applyAlignment="1" applyProtection="1">
      <alignment horizontal="left"/>
    </xf>
    <xf numFmtId="0" fontId="54" fillId="39" borderId="143" xfId="7" quotePrefix="1" applyFont="1" applyFill="1" applyBorder="1" applyAlignment="1" applyProtection="1">
      <alignment horizontal="left"/>
    </xf>
    <xf numFmtId="180" fontId="32" fillId="23" borderId="121" xfId="7" applyNumberFormat="1" applyFont="1" applyFill="1" applyBorder="1" applyAlignment="1" applyProtection="1"/>
    <xf numFmtId="180" fontId="54" fillId="23" borderId="121" xfId="7" applyNumberFormat="1" applyFont="1" applyFill="1" applyBorder="1" applyAlignment="1" applyProtection="1"/>
    <xf numFmtId="180" fontId="54" fillId="39" borderId="121" xfId="7" applyNumberFormat="1" applyFont="1" applyFill="1" applyBorder="1" applyAlignment="1" applyProtection="1"/>
    <xf numFmtId="180" fontId="54" fillId="39" borderId="144" xfId="7" applyNumberFormat="1" applyFont="1" applyFill="1" applyBorder="1" applyAlignment="1" applyProtection="1"/>
    <xf numFmtId="165" fontId="32" fillId="17" borderId="0" xfId="7" applyNumberFormat="1" applyFont="1" applyFill="1" applyProtection="1"/>
    <xf numFmtId="165" fontId="32" fillId="32" borderId="0" xfId="7" applyNumberFormat="1" applyFont="1" applyFill="1" applyBorder="1" applyProtection="1"/>
    <xf numFmtId="165" fontId="54" fillId="32" borderId="0" xfId="7" applyNumberFormat="1" applyFont="1" applyFill="1" applyBorder="1" applyProtection="1"/>
    <xf numFmtId="0" fontId="54" fillId="26" borderId="141" xfId="7" applyFont="1" applyFill="1" applyBorder="1" applyAlignment="1" applyProtection="1">
      <alignment horizontal="left"/>
    </xf>
    <xf numFmtId="0" fontId="54" fillId="26" borderId="142" xfId="7" applyFont="1" applyFill="1" applyBorder="1" applyAlignment="1" applyProtection="1">
      <alignment horizontal="left"/>
    </xf>
    <xf numFmtId="0" fontId="54" fillId="26" borderId="143" xfId="7" applyFont="1" applyFill="1" applyBorder="1" applyAlignment="1" applyProtection="1">
      <alignment horizontal="left"/>
    </xf>
    <xf numFmtId="180" fontId="32" fillId="26" borderId="121" xfId="7" applyNumberFormat="1" applyFont="1" applyFill="1" applyBorder="1" applyAlignment="1" applyProtection="1"/>
    <xf numFmtId="180" fontId="54" fillId="26" borderId="121" xfId="7" applyNumberFormat="1" applyFont="1" applyFill="1" applyBorder="1" applyAlignment="1" applyProtection="1"/>
    <xf numFmtId="180" fontId="54" fillId="26" borderId="144" xfId="7" applyNumberFormat="1" applyFont="1" applyFill="1" applyBorder="1" applyAlignment="1" applyProtection="1"/>
    <xf numFmtId="175" fontId="211" fillId="15" borderId="73" xfId="7" quotePrefix="1" applyNumberFormat="1" applyFont="1" applyFill="1" applyBorder="1" applyAlignment="1" applyProtection="1"/>
    <xf numFmtId="175" fontId="210" fillId="15" borderId="73" xfId="7" quotePrefix="1" applyNumberFormat="1" applyFont="1" applyFill="1" applyBorder="1" applyAlignment="1" applyProtection="1"/>
    <xf numFmtId="175" fontId="210" fillId="15" borderId="131" xfId="7" quotePrefix="1" applyNumberFormat="1" applyFont="1" applyFill="1" applyBorder="1" applyAlignment="1" applyProtection="1"/>
    <xf numFmtId="1" fontId="54" fillId="17" borderId="0" xfId="7" applyNumberFormat="1" applyFont="1" applyFill="1" applyBorder="1" applyAlignment="1" applyProtection="1">
      <alignment horizontal="right"/>
    </xf>
    <xf numFmtId="3" fontId="89" fillId="15" borderId="116" xfId="7" applyNumberFormat="1" applyFont="1" applyFill="1" applyBorder="1" applyAlignment="1" applyProtection="1">
      <alignment horizontal="center"/>
    </xf>
    <xf numFmtId="3" fontId="89" fillId="15" borderId="38" xfId="7" applyNumberFormat="1" applyFont="1" applyFill="1" applyBorder="1" applyAlignment="1" applyProtection="1">
      <alignment horizontal="center"/>
    </xf>
    <xf numFmtId="3" fontId="89" fillId="15" borderId="138" xfId="7" applyNumberFormat="1" applyFont="1" applyFill="1" applyBorder="1" applyAlignment="1" applyProtection="1">
      <alignment horizontal="center"/>
    </xf>
    <xf numFmtId="0" fontId="55" fillId="19" borderId="145" xfId="7" applyFont="1" applyFill="1" applyBorder="1" applyAlignment="1" applyProtection="1">
      <alignment horizontal="left"/>
    </xf>
    <xf numFmtId="0" fontId="55" fillId="19" borderId="146" xfId="7" applyFont="1" applyFill="1" applyBorder="1" applyAlignment="1" applyProtection="1">
      <alignment horizontal="left"/>
    </xf>
    <xf numFmtId="0" fontId="55" fillId="19" borderId="147" xfId="7" applyFont="1" applyFill="1" applyBorder="1" applyAlignment="1" applyProtection="1">
      <alignment horizontal="left"/>
    </xf>
    <xf numFmtId="180" fontId="32" fillId="19" borderId="92" xfId="7" applyNumberFormat="1" applyFont="1" applyFill="1" applyBorder="1" applyAlignment="1" applyProtection="1"/>
    <xf numFmtId="180" fontId="54" fillId="19" borderId="92" xfId="7" applyNumberFormat="1" applyFont="1" applyFill="1" applyBorder="1" applyAlignment="1" applyProtection="1"/>
    <xf numFmtId="180" fontId="54" fillId="19" borderId="148" xfId="7" applyNumberFormat="1" applyFont="1" applyFill="1" applyBorder="1" applyAlignment="1" applyProtection="1"/>
    <xf numFmtId="180" fontId="32" fillId="17" borderId="0" xfId="7" quotePrefix="1" applyNumberFormat="1" applyFont="1" applyFill="1" applyBorder="1" applyAlignment="1" applyProtection="1">
      <alignment horizontal="right"/>
    </xf>
    <xf numFmtId="175" fontId="55" fillId="19" borderId="104" xfId="7" applyNumberFormat="1" applyFont="1" applyFill="1" applyBorder="1" applyAlignment="1" applyProtection="1">
      <alignment horizontal="left"/>
    </xf>
    <xf numFmtId="175" fontId="55" fillId="19" borderId="108" xfId="7" applyNumberFormat="1" applyFont="1" applyFill="1" applyBorder="1" applyAlignment="1" applyProtection="1">
      <alignment horizontal="left"/>
    </xf>
    <xf numFmtId="175" fontId="55" fillId="19" borderId="105" xfId="7" applyNumberFormat="1" applyFont="1" applyFill="1" applyBorder="1" applyAlignment="1" applyProtection="1">
      <alignment horizontal="left"/>
    </xf>
    <xf numFmtId="175" fontId="84" fillId="17" borderId="0" xfId="7" applyNumberFormat="1" applyFont="1" applyFill="1" applyAlignment="1" applyProtection="1">
      <alignment horizontal="right"/>
    </xf>
    <xf numFmtId="180" fontId="32" fillId="19" borderId="80" xfId="7" applyNumberFormat="1" applyFont="1" applyFill="1" applyBorder="1" applyAlignment="1" applyProtection="1"/>
    <xf numFmtId="180" fontId="54" fillId="19" borderId="80" xfId="7" applyNumberFormat="1" applyFont="1" applyFill="1" applyBorder="1" applyAlignment="1" applyProtection="1"/>
    <xf numFmtId="180" fontId="54" fillId="19" borderId="149" xfId="7" applyNumberFormat="1" applyFont="1" applyFill="1" applyBorder="1" applyAlignment="1" applyProtection="1"/>
    <xf numFmtId="38" fontId="6" fillId="15" borderId="132" xfId="17" applyNumberFormat="1" applyFont="1" applyFill="1" applyBorder="1" applyAlignment="1" applyProtection="1"/>
    <xf numFmtId="38" fontId="6" fillId="15" borderId="99" xfId="17" applyNumberFormat="1" applyFont="1" applyFill="1" applyBorder="1" applyAlignment="1" applyProtection="1"/>
    <xf numFmtId="38" fontId="6" fillId="15" borderId="133" xfId="17" applyNumberFormat="1" applyFont="1" applyFill="1" applyBorder="1" applyAlignment="1" applyProtection="1"/>
    <xf numFmtId="38" fontId="3" fillId="15" borderId="11" xfId="17" applyNumberFormat="1" applyFont="1" applyFill="1" applyBorder="1" applyAlignment="1" applyProtection="1"/>
    <xf numFmtId="38" fontId="3" fillId="15" borderId="12" xfId="17" applyNumberFormat="1" applyFont="1" applyFill="1" applyBorder="1" applyAlignment="1" applyProtection="1"/>
    <xf numFmtId="38" fontId="3" fillId="15" borderId="82" xfId="17" applyNumberFormat="1" applyFont="1" applyFill="1" applyBorder="1" applyAlignment="1" applyProtection="1"/>
    <xf numFmtId="38" fontId="60" fillId="15" borderId="17" xfId="17" applyNumberFormat="1" applyFont="1" applyFill="1" applyBorder="1" applyAlignment="1" applyProtection="1">
      <alignment horizontal="left"/>
    </xf>
    <xf numFmtId="38" fontId="60" fillId="15" borderId="0" xfId="17" applyNumberFormat="1" applyFont="1" applyFill="1" applyBorder="1" applyAlignment="1" applyProtection="1">
      <alignment horizontal="left"/>
    </xf>
    <xf numFmtId="38" fontId="60" fillId="15" borderId="2" xfId="17" applyNumberFormat="1" applyFont="1" applyFill="1" applyBorder="1" applyAlignment="1" applyProtection="1">
      <alignment horizontal="left"/>
    </xf>
    <xf numFmtId="38" fontId="6" fillId="15" borderId="132" xfId="17" applyNumberFormat="1" applyFont="1" applyFill="1" applyBorder="1" applyAlignment="1" applyProtection="1">
      <alignment horizontal="left"/>
    </xf>
    <xf numFmtId="38" fontId="6" fillId="15" borderId="99" xfId="17" applyNumberFormat="1" applyFont="1" applyFill="1" applyBorder="1" applyAlignment="1" applyProtection="1">
      <alignment horizontal="left"/>
    </xf>
    <xf numFmtId="38" fontId="6" fillId="15" borderId="133" xfId="17" applyNumberFormat="1" applyFont="1" applyFill="1" applyBorder="1" applyAlignment="1" applyProtection="1">
      <alignment horizontal="left"/>
    </xf>
    <xf numFmtId="38" fontId="6" fillId="15" borderId="17" xfId="17" applyNumberFormat="1" applyFont="1" applyFill="1" applyBorder="1" applyAlignment="1" applyProtection="1">
      <alignment horizontal="left"/>
    </xf>
    <xf numFmtId="38" fontId="6" fillId="15" borderId="0" xfId="17" applyNumberFormat="1" applyFont="1" applyFill="1" applyBorder="1" applyAlignment="1" applyProtection="1">
      <alignment horizontal="left"/>
    </xf>
    <xf numFmtId="38" fontId="6" fillId="15" borderId="2" xfId="17" applyNumberFormat="1" applyFont="1" applyFill="1" applyBorder="1" applyAlignment="1" applyProtection="1">
      <alignment horizontal="left"/>
    </xf>
    <xf numFmtId="180" fontId="32" fillId="39" borderId="121" xfId="7" applyNumberFormat="1" applyFont="1" applyFill="1" applyBorder="1" applyAlignment="1" applyProtection="1"/>
    <xf numFmtId="38" fontId="184" fillId="40" borderId="116" xfId="17" applyNumberFormat="1" applyFont="1" applyFill="1" applyBorder="1" applyAlignment="1" applyProtection="1"/>
    <xf numFmtId="38" fontId="3" fillId="40" borderId="38" xfId="17" applyNumberFormat="1" applyFont="1" applyFill="1" applyBorder="1" applyAlignment="1" applyProtection="1"/>
    <xf numFmtId="38" fontId="3" fillId="40" borderId="138" xfId="17" applyNumberFormat="1" applyFont="1" applyFill="1" applyBorder="1" applyAlignment="1" applyProtection="1"/>
    <xf numFmtId="180" fontId="32" fillId="40" borderId="57" xfId="7" applyNumberFormat="1" applyFont="1" applyFill="1" applyBorder="1" applyAlignment="1" applyProtection="1"/>
    <xf numFmtId="180" fontId="54" fillId="40" borderId="57" xfId="7" applyNumberFormat="1" applyFont="1" applyFill="1" applyBorder="1" applyAlignment="1" applyProtection="1"/>
    <xf numFmtId="180" fontId="54" fillId="40" borderId="136" xfId="7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7" applyNumberFormat="1" applyFont="1" applyFill="1" applyBorder="1" applyAlignment="1" applyProtection="1"/>
    <xf numFmtId="38" fontId="3" fillId="15" borderId="38" xfId="17" applyNumberFormat="1" applyFont="1" applyFill="1" applyBorder="1" applyAlignment="1" applyProtection="1"/>
    <xf numFmtId="38" fontId="3" fillId="15" borderId="138" xfId="17" applyNumberFormat="1" applyFont="1" applyFill="1" applyBorder="1" applyAlignment="1" applyProtection="1"/>
    <xf numFmtId="0" fontId="54" fillId="15" borderId="104" xfId="7" applyFont="1" applyFill="1" applyBorder="1" applyAlignment="1" applyProtection="1">
      <alignment horizontal="left"/>
    </xf>
    <xf numFmtId="0" fontId="54" fillId="15" borderId="108" xfId="7" applyFont="1" applyFill="1" applyBorder="1" applyAlignment="1" applyProtection="1">
      <alignment horizontal="left"/>
    </xf>
    <xf numFmtId="0" fontId="54" fillId="15" borderId="105" xfId="7" applyFont="1" applyFill="1" applyBorder="1" applyAlignment="1" applyProtection="1">
      <alignment horizontal="left"/>
    </xf>
    <xf numFmtId="180" fontId="32" fillId="15" borderId="80" xfId="7" applyNumberFormat="1" applyFont="1" applyFill="1" applyBorder="1" applyAlignment="1" applyProtection="1"/>
    <xf numFmtId="180" fontId="54" fillId="15" borderId="80" xfId="7" applyNumberFormat="1" applyFont="1" applyFill="1" applyBorder="1" applyAlignment="1" applyProtection="1"/>
    <xf numFmtId="180" fontId="54" fillId="15" borderId="149" xfId="7" applyNumberFormat="1" applyFont="1" applyFill="1" applyBorder="1" applyAlignment="1" applyProtection="1"/>
    <xf numFmtId="175" fontId="210" fillId="17" borderId="96" xfId="7" quotePrefix="1" applyNumberFormat="1" applyFont="1" applyFill="1" applyBorder="1" applyAlignment="1" applyProtection="1"/>
    <xf numFmtId="175" fontId="210" fillId="17" borderId="94" xfId="7" quotePrefix="1" applyNumberFormat="1" applyFont="1" applyFill="1" applyBorder="1" applyAlignment="1" applyProtection="1"/>
    <xf numFmtId="3" fontId="32" fillId="17" borderId="0" xfId="7" applyNumberFormat="1" applyFont="1" applyFill="1" applyBorder="1" applyProtection="1"/>
    <xf numFmtId="0" fontId="210" fillId="17" borderId="96" xfId="7" quotePrefix="1" applyNumberFormat="1" applyFont="1" applyFill="1" applyBorder="1" applyAlignment="1" applyProtection="1"/>
    <xf numFmtId="0" fontId="32" fillId="17" borderId="0" xfId="7" applyFont="1" applyFill="1" applyBorder="1" applyAlignment="1" applyProtection="1">
      <alignment horizontal="center"/>
    </xf>
    <xf numFmtId="0" fontId="105" fillId="17" borderId="0" xfId="16" applyFont="1" applyFill="1" applyAlignment="1" applyProtection="1">
      <alignment horizontal="right"/>
    </xf>
    <xf numFmtId="181" fontId="167" fillId="15" borderId="3" xfId="7" applyNumberFormat="1" applyFont="1" applyFill="1" applyBorder="1" applyAlignment="1" applyProtection="1">
      <alignment horizontal="center"/>
    </xf>
    <xf numFmtId="0" fontId="6" fillId="17" borderId="0" xfId="16" applyFont="1" applyFill="1" applyProtection="1"/>
    <xf numFmtId="0" fontId="3" fillId="17" borderId="0" xfId="4" applyFont="1" applyFill="1" applyBorder="1" applyAlignment="1" applyProtection="1">
      <alignment horizontal="left" vertical="center"/>
    </xf>
    <xf numFmtId="0" fontId="32" fillId="32" borderId="0" xfId="7" applyNumberFormat="1" applyFont="1" applyFill="1" applyBorder="1" applyProtection="1"/>
    <xf numFmtId="0" fontId="83" fillId="32" borderId="0" xfId="7" applyFont="1" applyFill="1" applyAlignment="1" applyProtection="1">
      <alignment horizontal="center"/>
    </xf>
    <xf numFmtId="0" fontId="83" fillId="32" borderId="0" xfId="7" applyFont="1" applyFill="1" applyProtection="1"/>
    <xf numFmtId="1" fontId="54" fillId="17" borderId="0" xfId="7" applyNumberFormat="1" applyFont="1" applyFill="1" applyBorder="1" applyAlignment="1" applyProtection="1">
      <alignment horizontal="center"/>
    </xf>
    <xf numFmtId="0" fontId="54" fillId="17" borderId="0" xfId="7" applyNumberFormat="1" applyFont="1" applyFill="1" applyBorder="1" applyAlignment="1" applyProtection="1">
      <alignment horizontal="center"/>
    </xf>
    <xf numFmtId="0" fontId="84" fillId="32" borderId="0" xfId="7" applyFont="1" applyFill="1" applyProtection="1"/>
    <xf numFmtId="0" fontId="84" fillId="32" borderId="0" xfId="7" applyNumberFormat="1" applyFont="1" applyFill="1" applyProtection="1"/>
    <xf numFmtId="0" fontId="84" fillId="32" borderId="0" xfId="7" applyFont="1" applyFill="1" applyBorder="1" applyProtection="1"/>
    <xf numFmtId="0" fontId="106" fillId="15" borderId="89" xfId="16" applyFont="1" applyFill="1" applyBorder="1" applyProtection="1"/>
    <xf numFmtId="0" fontId="106" fillId="15" borderId="6" xfId="16" applyFont="1" applyFill="1" applyBorder="1" applyProtection="1"/>
    <xf numFmtId="0" fontId="106" fillId="15" borderId="7" xfId="16" applyFont="1" applyFill="1" applyBorder="1" applyProtection="1"/>
    <xf numFmtId="176" fontId="95" fillId="9" borderId="150" xfId="7" applyNumberFormat="1" applyFont="1" applyFill="1" applyBorder="1" applyAlignment="1" applyProtection="1">
      <alignment horizontal="center"/>
    </xf>
    <xf numFmtId="176" fontId="97" fillId="9" borderId="151" xfId="7" applyNumberFormat="1" applyFont="1" applyFill="1" applyBorder="1" applyAlignment="1" applyProtection="1">
      <alignment horizontal="center"/>
    </xf>
    <xf numFmtId="176" fontId="3" fillId="7" borderId="0" xfId="17" applyNumberFormat="1" applyFont="1" applyFill="1" applyAlignment="1" applyProtection="1"/>
    <xf numFmtId="176" fontId="96" fillId="12" borderId="150" xfId="7" applyNumberFormat="1" applyFont="1" applyFill="1" applyBorder="1" applyAlignment="1" applyProtection="1">
      <alignment horizontal="center"/>
    </xf>
    <xf numFmtId="176" fontId="97" fillId="12" borderId="151" xfId="7" applyNumberFormat="1" applyFont="1" applyFill="1" applyBorder="1" applyAlignment="1" applyProtection="1">
      <alignment horizontal="center"/>
    </xf>
    <xf numFmtId="176" fontId="29" fillId="7" borderId="0" xfId="16" applyNumberFormat="1" applyFont="1" applyFill="1" applyProtection="1"/>
    <xf numFmtId="176" fontId="97" fillId="11" borderId="152" xfId="7" applyNumberFormat="1" applyFont="1" applyFill="1" applyBorder="1" applyAlignment="1" applyProtection="1">
      <alignment horizontal="center"/>
    </xf>
    <xf numFmtId="176" fontId="84" fillId="32" borderId="0" xfId="7" applyNumberFormat="1" applyFont="1" applyFill="1" applyProtection="1"/>
    <xf numFmtId="176" fontId="6" fillId="5" borderId="153" xfId="7" applyNumberFormat="1" applyFont="1" applyFill="1" applyBorder="1" applyAlignment="1" applyProtection="1">
      <alignment horizontal="center"/>
    </xf>
    <xf numFmtId="0" fontId="12" fillId="15" borderId="154" xfId="7" applyNumberFormat="1" applyFont="1" applyFill="1" applyBorder="1" applyAlignment="1" applyProtection="1">
      <alignment horizontal="center"/>
    </xf>
    <xf numFmtId="0" fontId="11" fillId="15" borderId="155" xfId="7" applyNumberFormat="1" applyFont="1" applyFill="1" applyBorder="1" applyAlignment="1" applyProtection="1">
      <alignment horizontal="center"/>
    </xf>
    <xf numFmtId="0" fontId="83" fillId="32" borderId="0" xfId="7" applyNumberFormat="1" applyFont="1" applyFill="1" applyBorder="1" applyProtection="1"/>
    <xf numFmtId="0" fontId="83" fillId="32" borderId="0" xfId="7" applyFont="1" applyFill="1" applyBorder="1" applyAlignment="1" applyProtection="1">
      <alignment horizontal="center"/>
    </xf>
    <xf numFmtId="0" fontId="106" fillId="15" borderId="121" xfId="16" applyFont="1" applyFill="1" applyBorder="1" applyProtection="1"/>
    <xf numFmtId="0" fontId="106" fillId="15" borderId="142" xfId="16" applyFont="1" applyFill="1" applyBorder="1" applyProtection="1"/>
    <xf numFmtId="0" fontId="106" fillId="15" borderId="143" xfId="16" applyFont="1" applyFill="1" applyBorder="1" applyProtection="1"/>
    <xf numFmtId="176" fontId="95" fillId="9" borderId="156" xfId="7" applyNumberFormat="1" applyFont="1" applyFill="1" applyBorder="1" applyAlignment="1" applyProtection="1">
      <alignment horizontal="center"/>
    </xf>
    <xf numFmtId="176" fontId="97" fillId="9" borderId="157" xfId="7" applyNumberFormat="1" applyFont="1" applyFill="1" applyBorder="1" applyAlignment="1" applyProtection="1">
      <alignment horizontal="center"/>
    </xf>
    <xf numFmtId="176" fontId="96" fillId="12" borderId="156" xfId="7" applyNumberFormat="1" applyFont="1" applyFill="1" applyBorder="1" applyAlignment="1" applyProtection="1">
      <alignment horizontal="center"/>
    </xf>
    <xf numFmtId="176" fontId="97" fillId="12" borderId="157" xfId="7" applyNumberFormat="1" applyFont="1" applyFill="1" applyBorder="1" applyAlignment="1" applyProtection="1">
      <alignment horizontal="center"/>
    </xf>
    <xf numFmtId="176" fontId="97" fillId="11" borderId="158" xfId="7" applyNumberFormat="1" applyFont="1" applyFill="1" applyBorder="1" applyAlignment="1" applyProtection="1">
      <alignment horizontal="center"/>
    </xf>
    <xf numFmtId="176" fontId="37" fillId="5" borderId="144" xfId="7" applyNumberFormat="1" applyFont="1" applyFill="1" applyBorder="1" applyAlignment="1" applyProtection="1">
      <alignment horizontal="center"/>
    </xf>
    <xf numFmtId="0" fontId="12" fillId="15" borderId="159" xfId="7" applyNumberFormat="1" applyFont="1" applyFill="1" applyBorder="1" applyAlignment="1" applyProtection="1">
      <alignment horizontal="center"/>
    </xf>
    <xf numFmtId="0" fontId="11" fillId="15" borderId="160" xfId="7" applyNumberFormat="1" applyFont="1" applyFill="1" applyBorder="1" applyAlignment="1" applyProtection="1">
      <alignment horizontal="center"/>
    </xf>
    <xf numFmtId="176" fontId="83" fillId="32" borderId="0" xfId="7" applyNumberFormat="1" applyFont="1" applyFill="1" applyProtection="1"/>
    <xf numFmtId="176" fontId="229" fillId="9" borderId="150" xfId="7" applyNumberFormat="1" applyFont="1" applyFill="1" applyBorder="1" applyAlignment="1" applyProtection="1">
      <alignment horizontal="center"/>
    </xf>
    <xf numFmtId="176" fontId="230" fillId="9" borderId="151" xfId="7" applyNumberFormat="1" applyFont="1" applyFill="1" applyBorder="1" applyAlignment="1" applyProtection="1">
      <alignment horizontal="center"/>
    </xf>
    <xf numFmtId="176" fontId="231" fillId="12" borderId="150" xfId="7" applyNumberFormat="1" applyFont="1" applyFill="1" applyBorder="1" applyAlignment="1" applyProtection="1">
      <alignment horizontal="center"/>
    </xf>
    <xf numFmtId="176" fontId="232" fillId="12" borderId="151" xfId="7" applyNumberFormat="1" applyFont="1" applyFill="1" applyBorder="1" applyAlignment="1" applyProtection="1">
      <alignment horizontal="center"/>
    </xf>
    <xf numFmtId="176" fontId="233" fillId="11" borderId="152" xfId="7" applyNumberFormat="1" applyFont="1" applyFill="1" applyBorder="1" applyAlignment="1" applyProtection="1">
      <alignment horizontal="center"/>
    </xf>
    <xf numFmtId="176" fontId="234" fillId="5" borderId="153" xfId="7" applyNumberFormat="1" applyFont="1" applyFill="1" applyBorder="1" applyAlignment="1" applyProtection="1">
      <alignment horizontal="center"/>
    </xf>
    <xf numFmtId="176" fontId="12" fillId="15" borderId="154" xfId="7" applyNumberFormat="1" applyFont="1" applyFill="1" applyBorder="1" applyAlignment="1" applyProtection="1">
      <alignment horizontal="center"/>
    </xf>
    <xf numFmtId="176" fontId="11" fillId="15" borderId="155" xfId="7" applyNumberFormat="1" applyFont="1" applyFill="1" applyBorder="1" applyAlignment="1" applyProtection="1">
      <alignment horizontal="center"/>
    </xf>
    <xf numFmtId="176" fontId="229" fillId="9" borderId="156" xfId="7" applyNumberFormat="1" applyFont="1" applyFill="1" applyBorder="1" applyAlignment="1" applyProtection="1">
      <alignment horizontal="center"/>
    </xf>
    <xf numFmtId="176" fontId="230" fillId="9" borderId="157" xfId="7" applyNumberFormat="1" applyFont="1" applyFill="1" applyBorder="1" applyAlignment="1" applyProtection="1">
      <alignment horizontal="center"/>
    </xf>
    <xf numFmtId="176" fontId="231" fillId="12" borderId="156" xfId="7" applyNumberFormat="1" applyFont="1" applyFill="1" applyBorder="1" applyAlignment="1" applyProtection="1">
      <alignment horizontal="center"/>
    </xf>
    <xf numFmtId="176" fontId="232" fillId="12" borderId="157" xfId="7" applyNumberFormat="1" applyFont="1" applyFill="1" applyBorder="1" applyAlignment="1" applyProtection="1">
      <alignment horizontal="center"/>
    </xf>
    <xf numFmtId="176" fontId="233" fillId="11" borderId="158" xfId="7" applyNumberFormat="1" applyFont="1" applyFill="1" applyBorder="1" applyAlignment="1" applyProtection="1">
      <alignment horizontal="center"/>
    </xf>
    <xf numFmtId="176" fontId="234" fillId="5" borderId="144" xfId="7" applyNumberFormat="1" applyFont="1" applyFill="1" applyBorder="1" applyAlignment="1" applyProtection="1">
      <alignment horizontal="center"/>
    </xf>
    <xf numFmtId="176" fontId="12" fillId="15" borderId="159" xfId="7" applyNumberFormat="1" applyFont="1" applyFill="1" applyBorder="1" applyAlignment="1" applyProtection="1">
      <alignment horizontal="center"/>
    </xf>
    <xf numFmtId="176" fontId="11" fillId="15" borderId="160" xfId="7" applyNumberFormat="1" applyFont="1" applyFill="1" applyBorder="1" applyAlignment="1" applyProtection="1">
      <alignment horizontal="center"/>
    </xf>
    <xf numFmtId="0" fontId="158" fillId="0" borderId="0" xfId="7" applyProtection="1"/>
    <xf numFmtId="0" fontId="158" fillId="0" borderId="0" xfId="7" applyNumberFormat="1" applyProtection="1"/>
    <xf numFmtId="172" fontId="164" fillId="17" borderId="3" xfId="4" applyNumberFormat="1" applyFont="1" applyFill="1" applyBorder="1" applyAlignment="1" applyProtection="1">
      <alignment horizontal="center" vertical="center"/>
    </xf>
    <xf numFmtId="3" fontId="6" fillId="15" borderId="0" xfId="4" quotePrefix="1" applyNumberFormat="1" applyFont="1" applyFill="1" applyAlignment="1" applyProtection="1">
      <alignment horizontal="right" vertical="center"/>
    </xf>
    <xf numFmtId="3" fontId="176" fillId="18" borderId="100" xfId="4" applyNumberFormat="1" applyFont="1" applyFill="1" applyBorder="1" applyAlignment="1" applyProtection="1">
      <alignment horizontal="left" vertical="center"/>
    </xf>
    <xf numFmtId="3" fontId="3" fillId="18" borderId="16" xfId="4" applyNumberFormat="1" applyFont="1" applyFill="1" applyBorder="1" applyAlignment="1" applyProtection="1">
      <alignment horizontal="right" vertical="center"/>
    </xf>
    <xf numFmtId="3" fontId="3" fillId="18" borderId="4" xfId="4" applyNumberFormat="1" applyFont="1" applyFill="1" applyBorder="1" applyAlignment="1" applyProtection="1">
      <alignment horizontal="righ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 wrapText="1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0" fontId="3" fillId="14" borderId="0" xfId="4" applyFont="1" applyFill="1" applyAlignment="1" applyProtection="1">
      <alignment vertical="center"/>
    </xf>
    <xf numFmtId="3" fontId="235" fillId="24" borderId="3" xfId="4" applyNumberFormat="1" applyFont="1" applyFill="1" applyBorder="1" applyAlignment="1" applyProtection="1">
      <alignment horizontal="center" vertic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206" fillId="24" borderId="3" xfId="4" applyNumberFormat="1" applyFont="1" applyFill="1" applyBorder="1" applyAlignment="1" applyProtection="1">
      <alignment horizontal="center" vertical="center"/>
    </xf>
    <xf numFmtId="3" fontId="206" fillId="17" borderId="52" xfId="4" applyNumberFormat="1" applyFont="1" applyFill="1" applyBorder="1" applyAlignment="1" applyProtection="1">
      <alignment horizontal="right" vertical="center"/>
    </xf>
    <xf numFmtId="3" fontId="11" fillId="15" borderId="0" xfId="4" quotePrefix="1" applyNumberFormat="1" applyFont="1" applyFill="1" applyAlignment="1" applyProtection="1">
      <alignment horizontal="right" vertical="center"/>
    </xf>
    <xf numFmtId="3" fontId="185" fillId="26" borderId="52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horizontal="right" vertical="center"/>
    </xf>
    <xf numFmtId="3" fontId="11" fillId="15" borderId="55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horizontal="right" vertical="center"/>
    </xf>
    <xf numFmtId="3" fontId="11" fillId="15" borderId="54" xfId="4" applyNumberFormat="1" applyFont="1" applyFill="1" applyBorder="1" applyAlignment="1" applyProtection="1">
      <alignment horizontal="right" vertical="center"/>
    </xf>
    <xf numFmtId="3" fontId="11" fillId="15" borderId="90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vertical="center"/>
    </xf>
    <xf numFmtId="3" fontId="11" fillId="15" borderId="10" xfId="4" applyNumberFormat="1" applyFont="1" applyFill="1" applyBorder="1" applyAlignment="1" applyProtection="1">
      <alignment vertical="center"/>
    </xf>
    <xf numFmtId="3" fontId="11" fillId="15" borderId="55" xfId="4" applyNumberFormat="1" applyFont="1" applyFill="1" applyBorder="1" applyAlignment="1" applyProtection="1">
      <alignment vertical="center"/>
    </xf>
    <xf numFmtId="3" fontId="11" fillId="15" borderId="54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vertical="center"/>
    </xf>
    <xf numFmtId="3" fontId="11" fillId="15" borderId="17" xfId="4" applyNumberFormat="1" applyFont="1" applyFill="1" applyBorder="1" applyAlignment="1" applyProtection="1">
      <alignment vertical="center"/>
    </xf>
    <xf numFmtId="3" fontId="11" fillId="15" borderId="16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horizontal="right" vertical="center"/>
    </xf>
    <xf numFmtId="3" fontId="11" fillId="15" borderId="10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horizontal="right" vertical="center"/>
    </xf>
    <xf numFmtId="3" fontId="11" fillId="15" borderId="77" xfId="4" applyNumberFormat="1" applyFont="1" applyFill="1" applyBorder="1" applyAlignment="1" applyProtection="1">
      <alignment vertical="center"/>
    </xf>
    <xf numFmtId="0" fontId="55" fillId="20" borderId="10" xfId="4" applyFont="1" applyFill="1" applyBorder="1" applyAlignment="1" applyProtection="1">
      <alignment horizontal="center" vertical="center" wrapText="1"/>
    </xf>
    <xf numFmtId="3" fontId="55" fillId="15" borderId="52" xfId="4" quotePrefix="1" applyNumberFormat="1" applyFont="1" applyFill="1" applyBorder="1" applyAlignment="1" applyProtection="1">
      <alignment horizontal="center" vertical="center"/>
    </xf>
    <xf numFmtId="3" fontId="11" fillId="15" borderId="161" xfId="4" applyNumberFormat="1" applyFont="1" applyFill="1" applyBorder="1" applyAlignment="1" applyProtection="1">
      <alignment vertical="center"/>
    </xf>
    <xf numFmtId="3" fontId="11" fillId="15" borderId="88" xfId="4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36" fillId="19" borderId="73" xfId="4" applyFont="1" applyFill="1" applyBorder="1" applyAlignment="1" applyProtection="1">
      <alignment horizontal="center" vertical="center" wrapText="1"/>
    </xf>
    <xf numFmtId="3" fontId="27" fillId="0" borderId="52" xfId="4" quotePrefix="1" applyNumberFormat="1" applyFont="1" applyFill="1" applyBorder="1" applyAlignment="1" applyProtection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78" fillId="24" borderId="8" xfId="4" applyNumberFormat="1" applyFont="1" applyFill="1" applyBorder="1" applyAlignment="1" applyProtection="1">
      <alignment horizontal="right" vertical="center"/>
      <protection locked="0"/>
    </xf>
    <xf numFmtId="3" fontId="178" fillId="24" borderId="3" xfId="4" applyNumberFormat="1" applyFont="1" applyFill="1" applyBorder="1" applyAlignment="1" applyProtection="1">
      <alignment horizontal="right" vertical="center"/>
      <protection locked="0"/>
    </xf>
    <xf numFmtId="3" fontId="178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73" fillId="17" borderId="8" xfId="4" applyNumberFormat="1" applyFont="1" applyFill="1" applyBorder="1" applyAlignment="1" applyProtection="1">
      <alignment horizontal="right" vertical="center"/>
      <protection locked="0"/>
    </xf>
    <xf numFmtId="3" fontId="173" fillId="17" borderId="3" xfId="4" applyNumberFormat="1" applyFont="1" applyFill="1" applyBorder="1" applyAlignment="1" applyProtection="1">
      <alignment horizontal="right" vertical="center"/>
      <protection locked="0"/>
    </xf>
    <xf numFmtId="3" fontId="173" fillId="17" borderId="9" xfId="4" applyNumberFormat="1" applyFont="1" applyFill="1" applyBorder="1" applyAlignment="1" applyProtection="1">
      <alignment horizontal="right" vertical="center"/>
      <protection locked="0"/>
    </xf>
    <xf numFmtId="182" fontId="176" fillId="18" borderId="42" xfId="14" applyNumberFormat="1" applyFont="1" applyFill="1" applyBorder="1" applyAlignment="1" applyProtection="1">
      <alignment horizontal="center" vertical="center" wrapText="1"/>
    </xf>
    <xf numFmtId="170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50" xfId="4" applyFont="1" applyFill="1" applyBorder="1" applyAlignment="1">
      <alignment vertical="center" wrapText="1"/>
    </xf>
    <xf numFmtId="170" fontId="6" fillId="15" borderId="17" xfId="12" quotePrefix="1" applyNumberFormat="1" applyFont="1" applyFill="1" applyBorder="1" applyAlignment="1">
      <alignment horizontal="right" vertical="center"/>
    </xf>
    <xf numFmtId="0" fontId="6" fillId="15" borderId="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 applyProtection="1">
      <alignment horizontal="right" vertical="center"/>
    </xf>
    <xf numFmtId="3" fontId="3" fillId="15" borderId="88" xfId="4" applyNumberFormat="1" applyFont="1" applyFill="1" applyBorder="1" applyAlignment="1" applyProtection="1">
      <alignment horizontal="right" vertical="center"/>
    </xf>
    <xf numFmtId="3" fontId="3" fillId="15" borderId="73" xfId="4" applyNumberFormat="1" applyFont="1" applyFill="1" applyBorder="1" applyAlignment="1" applyProtection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76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5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0" fontId="237" fillId="15" borderId="82" xfId="4" applyFont="1" applyFill="1" applyBorder="1" applyAlignment="1">
      <alignment horizontal="center" vertical="center" wrapText="1"/>
    </xf>
    <xf numFmtId="169" fontId="238" fillId="15" borderId="12" xfId="4" applyNumberFormat="1" applyFont="1" applyFill="1" applyBorder="1" applyAlignment="1" applyProtection="1">
      <alignment horizontal="center" vertical="center" wrapText="1"/>
    </xf>
    <xf numFmtId="0" fontId="29" fillId="15" borderId="0" xfId="4" applyFont="1" applyFill="1"/>
    <xf numFmtId="174" fontId="170" fillId="21" borderId="8" xfId="4" applyNumberFormat="1" applyFont="1" applyFill="1" applyBorder="1" applyAlignment="1" applyProtection="1">
      <alignment horizontal="center" vertical="center"/>
    </xf>
    <xf numFmtId="174" fontId="170" fillId="21" borderId="3" xfId="4" applyNumberFormat="1" applyFont="1" applyFill="1" applyBorder="1" applyAlignment="1" applyProtection="1">
      <alignment horizontal="center" vertical="center"/>
    </xf>
    <xf numFmtId="174" fontId="170" fillId="21" borderId="9" xfId="4" applyNumberFormat="1" applyFont="1" applyFill="1" applyBorder="1" applyAlignment="1" applyProtection="1">
      <alignment horizontal="center" vertical="center"/>
    </xf>
    <xf numFmtId="0" fontId="175" fillId="23" borderId="40" xfId="12" applyFont="1" applyFill="1" applyBorder="1" applyAlignment="1" applyProtection="1">
      <alignment horizontal="right" vertical="center"/>
    </xf>
    <xf numFmtId="174" fontId="170" fillId="21" borderId="66" xfId="4" applyNumberFormat="1" applyFont="1" applyFill="1" applyBorder="1" applyAlignment="1" applyProtection="1">
      <alignment horizontal="center" vertical="center"/>
    </xf>
    <xf numFmtId="174" fontId="170" fillId="21" borderId="63" xfId="4" applyNumberFormat="1" applyFont="1" applyFill="1" applyBorder="1" applyAlignment="1" applyProtection="1">
      <alignment horizontal="center" vertical="center"/>
    </xf>
    <xf numFmtId="174" fontId="170" fillId="21" borderId="61" xfId="4" applyNumberFormat="1" applyFont="1" applyFill="1" applyBorder="1" applyAlignment="1" applyProtection="1">
      <alignment horizontal="center" vertical="center"/>
    </xf>
    <xf numFmtId="174" fontId="170" fillId="21" borderId="58" xfId="4" applyNumberFormat="1" applyFont="1" applyFill="1" applyBorder="1" applyAlignment="1" applyProtection="1">
      <alignment horizontal="center" vertical="center"/>
    </xf>
    <xf numFmtId="174" fontId="170" fillId="31" borderId="78" xfId="4" applyNumberFormat="1" applyFont="1" applyFill="1" applyBorder="1" applyAlignment="1" applyProtection="1">
      <alignment horizontal="center" vertical="center"/>
    </xf>
    <xf numFmtId="174" fontId="170" fillId="31" borderId="75" xfId="4" applyNumberFormat="1" applyFont="1" applyFill="1" applyBorder="1" applyAlignment="1" applyProtection="1">
      <alignment horizontal="center" vertical="center"/>
    </xf>
    <xf numFmtId="174" fontId="170" fillId="24" borderId="8" xfId="4" applyNumberFormat="1" applyFont="1" applyFill="1" applyBorder="1" applyAlignment="1" applyProtection="1">
      <alignment horizontal="center" vertical="center"/>
    </xf>
    <xf numFmtId="174" fontId="170" fillId="24" borderId="3" xfId="4" applyNumberFormat="1" applyFont="1" applyFill="1" applyBorder="1" applyAlignment="1" applyProtection="1">
      <alignment horizontal="center" vertical="center"/>
    </xf>
    <xf numFmtId="174" fontId="170" fillId="24" borderId="9" xfId="4" applyNumberFormat="1" applyFont="1" applyFill="1" applyBorder="1" applyAlignment="1" applyProtection="1">
      <alignment horizontal="center" vertical="center"/>
    </xf>
    <xf numFmtId="174" fontId="170" fillId="30" borderId="9" xfId="4" applyNumberFormat="1" applyFont="1" applyFill="1" applyBorder="1" applyAlignment="1" applyProtection="1">
      <alignment horizontal="center" vertical="center"/>
    </xf>
    <xf numFmtId="174" fontId="170" fillId="26" borderId="9" xfId="4" applyNumberFormat="1" applyFont="1" applyFill="1" applyBorder="1" applyAlignment="1" applyProtection="1">
      <alignment horizontal="center" vertical="center"/>
    </xf>
    <xf numFmtId="174" fontId="170" fillId="21" borderId="29" xfId="4" applyNumberFormat="1" applyFont="1" applyFill="1" applyBorder="1" applyAlignment="1" applyProtection="1">
      <alignment horizontal="center" vertical="center"/>
    </xf>
    <xf numFmtId="174" fontId="170" fillId="21" borderId="27" xfId="4" applyNumberFormat="1" applyFont="1" applyFill="1" applyBorder="1" applyAlignment="1" applyProtection="1">
      <alignment horizontal="center" vertical="center"/>
    </xf>
    <xf numFmtId="174" fontId="170" fillId="17" borderId="8" xfId="4" applyNumberFormat="1" applyFont="1" applyFill="1" applyBorder="1" applyAlignment="1" applyProtection="1">
      <alignment horizontal="center" vertical="center"/>
    </xf>
    <xf numFmtId="174" fontId="170" fillId="17" borderId="3" xfId="4" applyNumberFormat="1" applyFont="1" applyFill="1" applyBorder="1" applyAlignment="1" applyProtection="1">
      <alignment horizontal="center" vertical="center"/>
    </xf>
    <xf numFmtId="174" fontId="170" fillId="17" borderId="9" xfId="4" applyNumberFormat="1" applyFont="1" applyFill="1" applyBorder="1" applyAlignment="1" applyProtection="1">
      <alignment horizontal="center" vertical="center"/>
    </xf>
    <xf numFmtId="0" fontId="179" fillId="24" borderId="16" xfId="4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39" fillId="24" borderId="3" xfId="4" applyNumberFormat="1" applyFont="1" applyFill="1" applyBorder="1" applyAlignment="1" applyProtection="1">
      <alignment horizontal="center" vertical="center"/>
    </xf>
    <xf numFmtId="0" fontId="11" fillId="15" borderId="0" xfId="4" applyFont="1" applyFill="1" applyAlignment="1">
      <alignment horizontal="right" vertical="center"/>
    </xf>
    <xf numFmtId="49" fontId="30" fillId="42" borderId="3" xfId="4" applyNumberFormat="1" applyFont="1" applyFill="1" applyBorder="1" applyProtection="1">
      <protection locked="0"/>
    </xf>
    <xf numFmtId="49" fontId="240" fillId="42" borderId="163" xfId="4" quotePrefix="1" applyNumberFormat="1" applyFont="1" applyFill="1" applyBorder="1" applyAlignment="1">
      <alignment horizontal="center"/>
    </xf>
    <xf numFmtId="0" fontId="3" fillId="42" borderId="164" xfId="4" applyFont="1" applyFill="1" applyBorder="1"/>
    <xf numFmtId="49" fontId="240" fillId="42" borderId="55" xfId="4" quotePrefix="1" applyNumberFormat="1" applyFont="1" applyFill="1" applyBorder="1" applyAlignment="1">
      <alignment horizontal="center"/>
    </xf>
    <xf numFmtId="0" fontId="3" fillId="42" borderId="102" xfId="4" applyFont="1" applyFill="1" applyBorder="1"/>
    <xf numFmtId="0" fontId="3" fillId="42" borderId="55" xfId="4" applyFont="1" applyFill="1" applyBorder="1"/>
    <xf numFmtId="0" fontId="3" fillId="42" borderId="55" xfId="4" quotePrefix="1" applyFont="1" applyFill="1" applyBorder="1" applyAlignment="1">
      <alignment horizontal="left"/>
    </xf>
    <xf numFmtId="49" fontId="241" fillId="42" borderId="55" xfId="4" quotePrefix="1" applyNumberFormat="1" applyFont="1" applyFill="1" applyBorder="1" applyAlignment="1">
      <alignment horizontal="center" vertical="center"/>
    </xf>
    <xf numFmtId="0" fontId="16" fillId="42" borderId="55" xfId="4" applyFont="1" applyFill="1" applyBorder="1" applyAlignment="1">
      <alignment wrapText="1"/>
    </xf>
    <xf numFmtId="49" fontId="241" fillId="42" borderId="55" xfId="4" quotePrefix="1" applyNumberFormat="1" applyFont="1" applyFill="1" applyBorder="1" applyAlignment="1">
      <alignment horizontal="center"/>
    </xf>
    <xf numFmtId="0" fontId="16" fillId="42" borderId="55" xfId="4" applyFont="1" applyFill="1" applyBorder="1"/>
    <xf numFmtId="49" fontId="240" fillId="42" borderId="57" xfId="4" quotePrefix="1" applyNumberFormat="1" applyFont="1" applyFill="1" applyBorder="1" applyAlignment="1">
      <alignment horizontal="center"/>
    </xf>
    <xf numFmtId="0" fontId="3" fillId="42" borderId="57" xfId="4" applyFont="1" applyFill="1" applyBorder="1"/>
    <xf numFmtId="49" fontId="242" fillId="42" borderId="57" xfId="4" quotePrefix="1" applyNumberFormat="1" applyFont="1" applyFill="1" applyBorder="1" applyAlignment="1">
      <alignment horizontal="center"/>
    </xf>
    <xf numFmtId="0" fontId="243" fillId="42" borderId="57" xfId="4" applyFont="1" applyFill="1" applyBorder="1"/>
    <xf numFmtId="49" fontId="240" fillId="42" borderId="165" xfId="4" quotePrefix="1" applyNumberFormat="1" applyFont="1" applyFill="1" applyBorder="1" applyAlignment="1">
      <alignment horizontal="center"/>
    </xf>
    <xf numFmtId="0" fontId="3" fillId="42" borderId="165" xfId="4" applyFont="1" applyFill="1" applyBorder="1"/>
    <xf numFmtId="0" fontId="244" fillId="42" borderId="89" xfId="13" applyFont="1" applyFill="1" applyBorder="1"/>
    <xf numFmtId="49" fontId="245" fillId="42" borderId="88" xfId="4" applyNumberFormat="1" applyFont="1" applyFill="1" applyBorder="1" applyAlignment="1">
      <alignment horizontal="center"/>
    </xf>
    <xf numFmtId="169" fontId="246" fillId="42" borderId="52" xfId="4" applyNumberFormat="1" applyFont="1" applyFill="1" applyBorder="1" applyAlignment="1">
      <alignment horizontal="left"/>
    </xf>
    <xf numFmtId="169" fontId="247" fillId="42" borderId="52" xfId="4" applyNumberFormat="1" applyFont="1" applyFill="1" applyBorder="1" applyAlignment="1">
      <alignment horizontal="left"/>
    </xf>
    <xf numFmtId="0" fontId="248" fillId="42" borderId="133" xfId="4" applyFont="1" applyFill="1" applyBorder="1"/>
    <xf numFmtId="49" fontId="249" fillId="42" borderId="55" xfId="4" quotePrefix="1" applyNumberFormat="1" applyFont="1" applyFill="1" applyBorder="1" applyAlignment="1">
      <alignment horizontal="center"/>
    </xf>
    <xf numFmtId="0" fontId="248" fillId="42" borderId="102" xfId="4" applyFont="1" applyFill="1" applyBorder="1"/>
    <xf numFmtId="0" fontId="248" fillId="42" borderId="55" xfId="4" applyFont="1" applyFill="1" applyBorder="1"/>
    <xf numFmtId="0" fontId="250" fillId="42" borderId="55" xfId="4" applyFont="1" applyFill="1" applyBorder="1"/>
    <xf numFmtId="0" fontId="248" fillId="42" borderId="55" xfId="4" applyFont="1" applyFill="1" applyBorder="1" applyAlignment="1">
      <alignment horizontal="left"/>
    </xf>
    <xf numFmtId="0" fontId="248" fillId="42" borderId="55" xfId="4" applyFont="1" applyFill="1" applyBorder="1" applyAlignment="1">
      <alignment horizontal="left" wrapText="1"/>
    </xf>
    <xf numFmtId="0" fontId="251" fillId="42" borderId="57" xfId="4" applyFont="1" applyFill="1" applyBorder="1"/>
    <xf numFmtId="169" fontId="252" fillId="42" borderId="31" xfId="4" applyNumberFormat="1" applyFont="1" applyFill="1" applyBorder="1" applyAlignment="1">
      <alignment horizontal="left"/>
    </xf>
    <xf numFmtId="0" fontId="3" fillId="42" borderId="133" xfId="4" applyFont="1" applyFill="1" applyBorder="1"/>
    <xf numFmtId="0" fontId="16" fillId="42" borderId="54" xfId="4" applyFont="1" applyFill="1" applyBorder="1"/>
    <xf numFmtId="169" fontId="246" fillId="42" borderId="31" xfId="4" applyNumberFormat="1" applyFont="1" applyFill="1" applyBorder="1" applyAlignment="1">
      <alignment horizontal="left"/>
    </xf>
    <xf numFmtId="0" fontId="3" fillId="42" borderId="54" xfId="4" applyFont="1" applyFill="1" applyBorder="1"/>
    <xf numFmtId="49" fontId="249" fillId="42" borderId="120" xfId="4" quotePrefix="1" applyNumberFormat="1" applyFont="1" applyFill="1" applyBorder="1" applyAlignment="1">
      <alignment horizontal="center"/>
    </xf>
    <xf numFmtId="0" fontId="16" fillId="42" borderId="165" xfId="4" applyFont="1" applyFill="1" applyBorder="1"/>
    <xf numFmtId="0" fontId="3" fillId="42" borderId="120" xfId="4" applyFont="1" applyFill="1" applyBorder="1"/>
    <xf numFmtId="0" fontId="41" fillId="42" borderId="57" xfId="4" applyFont="1" applyFill="1" applyBorder="1"/>
    <xf numFmtId="0" fontId="3" fillId="42" borderId="163" xfId="4" applyFont="1" applyFill="1" applyBorder="1"/>
    <xf numFmtId="0" fontId="243" fillId="42" borderId="55" xfId="4" applyFont="1" applyFill="1" applyBorder="1"/>
    <xf numFmtId="0" fontId="3" fillId="42" borderId="165" xfId="4" applyFont="1" applyFill="1" applyBorder="1" applyAlignment="1">
      <alignment horizontal="left" wrapText="1"/>
    </xf>
    <xf numFmtId="0" fontId="24" fillId="42" borderId="53" xfId="4" applyFont="1" applyFill="1" applyBorder="1" applyAlignment="1">
      <alignment horizontal="left"/>
    </xf>
    <xf numFmtId="0" fontId="24" fillId="42" borderId="55" xfId="4" applyFont="1" applyFill="1" applyBorder="1" applyAlignment="1">
      <alignment horizontal="left"/>
    </xf>
    <xf numFmtId="0" fontId="253" fillId="42" borderId="55" xfId="4" applyFont="1" applyFill="1" applyBorder="1" applyAlignment="1">
      <alignment horizontal="left"/>
    </xf>
    <xf numFmtId="0" fontId="24" fillId="42" borderId="55" xfId="4" quotePrefix="1" applyFont="1" applyFill="1" applyBorder="1" applyAlignment="1">
      <alignment horizontal="left"/>
    </xf>
    <xf numFmtId="0" fontId="24" fillId="42" borderId="165" xfId="4" applyFont="1" applyFill="1" applyBorder="1" applyAlignment="1">
      <alignment horizontal="left"/>
    </xf>
    <xf numFmtId="0" fontId="253" fillId="42" borderId="53" xfId="4" applyFont="1" applyFill="1" applyBorder="1" applyAlignment="1">
      <alignment horizontal="left"/>
    </xf>
    <xf numFmtId="0" fontId="24" fillId="42" borderId="57" xfId="4" applyFont="1" applyFill="1" applyBorder="1" applyAlignment="1">
      <alignment horizontal="left"/>
    </xf>
    <xf numFmtId="0" fontId="24" fillId="42" borderId="120" xfId="4" applyFont="1" applyFill="1" applyBorder="1" applyAlignment="1">
      <alignment horizontal="left"/>
    </xf>
    <xf numFmtId="0" fontId="42" fillId="42" borderId="165" xfId="4" applyFont="1" applyFill="1" applyBorder="1" applyAlignment="1">
      <alignment horizontal="left"/>
    </xf>
    <xf numFmtId="0" fontId="253" fillId="42" borderId="165" xfId="4" applyFont="1" applyFill="1" applyBorder="1" applyAlignment="1">
      <alignment horizontal="left"/>
    </xf>
    <xf numFmtId="0" fontId="254" fillId="43" borderId="3" xfId="6" applyFont="1" applyFill="1" applyBorder="1"/>
    <xf numFmtId="0" fontId="254" fillId="44" borderId="3" xfId="6" applyFont="1" applyFill="1" applyBorder="1"/>
    <xf numFmtId="14" fontId="254" fillId="42" borderId="3" xfId="6" applyNumberFormat="1" applyFont="1" applyFill="1" applyBorder="1" applyAlignment="1">
      <alignment horizontal="left"/>
    </xf>
    <xf numFmtId="49" fontId="164" fillId="17" borderId="3" xfId="4" applyNumberFormat="1" applyFont="1" applyFill="1" applyBorder="1" applyAlignment="1" applyProtection="1">
      <alignment horizontal="center" vertical="center"/>
      <protection locked="0"/>
    </xf>
    <xf numFmtId="49" fontId="176" fillId="16" borderId="4" xfId="4" applyNumberFormat="1" applyFont="1" applyFill="1" applyBorder="1" applyAlignment="1" applyProtection="1">
      <alignment horizontal="center" vertical="center" wrapText="1"/>
    </xf>
    <xf numFmtId="172" fontId="245" fillId="42" borderId="88" xfId="4" applyNumberFormat="1" applyFont="1" applyFill="1" applyBorder="1" applyAlignment="1">
      <alignment horizontal="center"/>
    </xf>
    <xf numFmtId="49" fontId="255" fillId="42" borderId="57" xfId="4" quotePrefix="1" applyNumberFormat="1" applyFont="1" applyFill="1" applyBorder="1" applyAlignment="1">
      <alignment horizontal="center"/>
    </xf>
    <xf numFmtId="49" fontId="249" fillId="42" borderId="54" xfId="4" quotePrefix="1" applyNumberFormat="1" applyFont="1" applyFill="1" applyBorder="1" applyAlignment="1">
      <alignment horizontal="center"/>
    </xf>
    <xf numFmtId="49" fontId="240" fillId="42" borderId="54" xfId="4" quotePrefix="1" applyNumberFormat="1" applyFont="1" applyFill="1" applyBorder="1" applyAlignment="1">
      <alignment horizontal="center"/>
    </xf>
    <xf numFmtId="49" fontId="249" fillId="42" borderId="165" xfId="4" quotePrefix="1" applyNumberFormat="1" applyFont="1" applyFill="1" applyBorder="1" applyAlignment="1">
      <alignment horizontal="center"/>
    </xf>
    <xf numFmtId="49" fontId="240" fillId="42" borderId="120" xfId="4" quotePrefix="1" applyNumberFormat="1" applyFont="1" applyFill="1" applyBorder="1" applyAlignment="1">
      <alignment horizontal="center"/>
    </xf>
    <xf numFmtId="49" fontId="249" fillId="42" borderId="57" xfId="4" quotePrefix="1" applyNumberFormat="1" applyFont="1" applyFill="1" applyBorder="1" applyAlignment="1">
      <alignment horizontal="center"/>
    </xf>
    <xf numFmtId="49" fontId="242" fillId="42" borderId="55" xfId="4" quotePrefix="1" applyNumberFormat="1" applyFont="1" applyFill="1" applyBorder="1" applyAlignment="1">
      <alignment horizontal="center"/>
    </xf>
    <xf numFmtId="49" fontId="238" fillId="15" borderId="4" xfId="4" applyNumberFormat="1" applyFont="1" applyFill="1" applyBorder="1" applyAlignment="1" applyProtection="1">
      <alignment horizontal="center" vertical="center" wrapText="1"/>
    </xf>
    <xf numFmtId="0" fontId="166" fillId="17" borderId="14" xfId="0" applyFont="1" applyFill="1" applyBorder="1" applyAlignment="1" applyProtection="1">
      <alignment horizontal="center" vertical="center" wrapText="1"/>
    </xf>
    <xf numFmtId="0" fontId="166" fillId="17" borderId="15" xfId="0" applyFont="1" applyFill="1" applyBorder="1" applyAlignment="1" applyProtection="1">
      <alignment horizontal="center" vertical="center" wrapText="1"/>
    </xf>
    <xf numFmtId="0" fontId="166" fillId="17" borderId="13" xfId="0" applyFont="1" applyFill="1" applyBorder="1" applyAlignment="1" applyProtection="1">
      <alignment horizontal="center" vertical="center" wrapText="1"/>
    </xf>
    <xf numFmtId="0" fontId="256" fillId="0" borderId="0" xfId="0" applyFont="1" applyFill="1" applyBorder="1" applyAlignment="1" applyProtection="1">
      <alignment vertical="top"/>
    </xf>
    <xf numFmtId="0" fontId="140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39" fillId="45" borderId="0" xfId="0" applyFont="1" applyFill="1" applyBorder="1" applyAlignment="1" applyProtection="1">
      <alignment horizontal="left" vertical="top" wrapText="1"/>
    </xf>
    <xf numFmtId="0" fontId="257" fillId="45" borderId="0" xfId="0" applyFont="1" applyFill="1" applyBorder="1" applyAlignment="1" applyProtection="1">
      <alignment horizontal="center" vertical="top"/>
    </xf>
    <xf numFmtId="0" fontId="140" fillId="45" borderId="0" xfId="0" applyFont="1" applyFill="1" applyBorder="1" applyAlignment="1" applyProtection="1">
      <alignment vertical="top"/>
    </xf>
    <xf numFmtId="49" fontId="257" fillId="45" borderId="0" xfId="0" applyNumberFormat="1" applyFont="1" applyFill="1" applyBorder="1" applyAlignment="1" applyProtection="1">
      <alignment horizontal="center" vertical="top"/>
    </xf>
    <xf numFmtId="0" fontId="140" fillId="0" borderId="47" xfId="0" applyFont="1" applyFill="1" applyBorder="1" applyAlignment="1" applyProtection="1">
      <alignment vertical="top"/>
    </xf>
    <xf numFmtId="0" fontId="139" fillId="46" borderId="95" xfId="0" applyFont="1" applyFill="1" applyBorder="1" applyAlignment="1" applyProtection="1">
      <alignment horizontal="center" vertical="center" wrapText="1"/>
    </xf>
    <xf numFmtId="0" fontId="139" fillId="46" borderId="125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horizontal="center" vertical="center" wrapText="1"/>
    </xf>
    <xf numFmtId="0" fontId="34" fillId="46" borderId="118" xfId="0" applyNumberFormat="1" applyFont="1" applyFill="1" applyBorder="1" applyAlignment="1" applyProtection="1">
      <alignment horizontal="center" vertical="center"/>
    </xf>
    <xf numFmtId="0" fontId="34" fillId="47" borderId="119" xfId="0" applyFont="1" applyFill="1" applyBorder="1" applyAlignment="1" applyProtection="1">
      <alignment horizontal="center" vertical="center"/>
    </xf>
    <xf numFmtId="0" fontId="34" fillId="47" borderId="166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vertical="center" wrapText="1"/>
    </xf>
    <xf numFmtId="0" fontId="258" fillId="46" borderId="118" xfId="0" applyNumberFormat="1" applyFont="1" applyFill="1" applyBorder="1" applyAlignment="1" applyProtection="1">
      <alignment horizontal="center" vertical="center"/>
    </xf>
    <xf numFmtId="0" fontId="258" fillId="47" borderId="119" xfId="0" applyFont="1" applyFill="1" applyBorder="1" applyAlignment="1" applyProtection="1">
      <alignment horizontal="center" vertical="center"/>
    </xf>
    <xf numFmtId="0" fontId="258" fillId="47" borderId="166" xfId="0" applyFont="1" applyFill="1" applyBorder="1" applyAlignment="1" applyProtection="1">
      <alignment horizontal="center" vertical="center"/>
    </xf>
    <xf numFmtId="49" fontId="139" fillId="46" borderId="124" xfId="0" applyNumberFormat="1" applyFont="1" applyFill="1" applyBorder="1" applyAlignment="1" applyProtection="1">
      <alignment horizontal="center" vertical="center"/>
    </xf>
    <xf numFmtId="49" fontId="139" fillId="46" borderId="167" xfId="0" applyNumberFormat="1" applyFont="1" applyFill="1" applyBorder="1" applyAlignment="1" applyProtection="1">
      <alignment horizontal="center" vertical="center"/>
    </xf>
    <xf numFmtId="49" fontId="139" fillId="47" borderId="167" xfId="0" applyNumberFormat="1" applyFont="1" applyFill="1" applyBorder="1" applyAlignment="1" applyProtection="1">
      <alignment horizontal="center" vertical="center"/>
    </xf>
    <xf numFmtId="0" fontId="140" fillId="0" borderId="168" xfId="0" applyFont="1" applyFill="1" applyBorder="1" applyAlignment="1" applyProtection="1">
      <alignment horizontal="center"/>
    </xf>
    <xf numFmtId="0" fontId="141" fillId="45" borderId="8" xfId="0" quotePrefix="1" applyNumberFormat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top"/>
    </xf>
    <xf numFmtId="3" fontId="259" fillId="45" borderId="9" xfId="0" applyNumberFormat="1" applyFont="1" applyFill="1" applyBorder="1" applyAlignment="1" applyProtection="1">
      <alignment vertical="top"/>
    </xf>
    <xf numFmtId="183" fontId="260" fillId="0" borderId="56" xfId="0" quotePrefix="1" applyNumberFormat="1" applyFont="1" applyFill="1" applyBorder="1" applyAlignment="1" applyProtection="1">
      <alignment horizontal="left" vertical="top" wrapText="1"/>
    </xf>
    <xf numFmtId="0" fontId="140" fillId="0" borderId="1" xfId="0" quotePrefix="1" applyNumberFormat="1" applyFont="1" applyFill="1" applyBorder="1" applyAlignment="1" applyProtection="1">
      <alignment horizontal="center" vertical="top"/>
    </xf>
    <xf numFmtId="3" fontId="259" fillId="0" borderId="1" xfId="0" applyNumberFormat="1" applyFont="1" applyFill="1" applyBorder="1" applyAlignment="1" applyProtection="1">
      <alignment vertical="center"/>
    </xf>
    <xf numFmtId="3" fontId="259" fillId="0" borderId="74" xfId="0" applyNumberFormat="1" applyFont="1" applyFill="1" applyBorder="1" applyAlignment="1" applyProtection="1">
      <alignment vertical="center"/>
    </xf>
    <xf numFmtId="183" fontId="261" fillId="0" borderId="132" xfId="0" quotePrefix="1" applyNumberFormat="1" applyFont="1" applyFill="1" applyBorder="1" applyAlignment="1" applyProtection="1">
      <alignment horizontal="left" vertical="top" wrapText="1"/>
    </xf>
    <xf numFmtId="168" fontId="34" fillId="0" borderId="1" xfId="12" quotePrefix="1" applyNumberFormat="1" applyFont="1" applyFill="1" applyBorder="1" applyAlignment="1">
      <alignment horizontal="center" vertical="center"/>
    </xf>
    <xf numFmtId="3" fontId="259" fillId="0" borderId="98" xfId="0" applyNumberFormat="1" applyFont="1" applyFill="1" applyBorder="1" applyAlignment="1" applyProtection="1">
      <alignment vertical="center"/>
    </xf>
    <xf numFmtId="3" fontId="259" fillId="0" borderId="98" xfId="0" applyNumberFormat="1" applyFont="1" applyFill="1" applyBorder="1" applyAlignment="1" applyProtection="1">
      <alignment vertical="center"/>
      <protection locked="0"/>
    </xf>
    <xf numFmtId="0" fontId="140" fillId="0" borderId="0" xfId="0" applyFont="1" applyFill="1" applyBorder="1" applyProtection="1"/>
    <xf numFmtId="0" fontId="259" fillId="0" borderId="56" xfId="0" applyNumberFormat="1" applyFont="1" applyFill="1" applyBorder="1" applyAlignment="1" applyProtection="1">
      <alignment vertical="top" wrapText="1"/>
    </xf>
    <xf numFmtId="3" fontId="259" fillId="0" borderId="1" xfId="0" applyNumberFormat="1" applyFont="1" applyFill="1" applyBorder="1" applyAlignment="1" applyProtection="1">
      <alignment vertical="center"/>
      <protection locked="0"/>
    </xf>
    <xf numFmtId="0" fontId="140" fillId="0" borderId="56" xfId="0" applyNumberFormat="1" applyFont="1" applyFill="1" applyBorder="1" applyAlignment="1" applyProtection="1">
      <alignment vertical="top" wrapText="1"/>
    </xf>
    <xf numFmtId="0" fontId="259" fillId="0" borderId="101" xfId="0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vertical="top" wrapText="1"/>
    </xf>
    <xf numFmtId="0" fontId="25" fillId="0" borderId="14" xfId="0" applyNumberFormat="1" applyFont="1" applyFill="1" applyBorder="1" applyAlignment="1" applyProtection="1">
      <alignment vertical="top" wrapText="1"/>
    </xf>
    <xf numFmtId="3" fontId="259" fillId="0" borderId="15" xfId="0" applyNumberFormat="1" applyFont="1" applyFill="1" applyBorder="1" applyAlignment="1" applyProtection="1">
      <alignment vertical="center"/>
    </xf>
    <xf numFmtId="3" fontId="259" fillId="0" borderId="15" xfId="0" applyNumberFormat="1" applyFont="1" applyFill="1" applyBorder="1" applyAlignment="1" applyProtection="1">
      <alignment vertical="center"/>
      <protection locked="0"/>
    </xf>
    <xf numFmtId="0" fontId="141" fillId="45" borderId="8" xfId="0" quotePrefix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center"/>
    </xf>
    <xf numFmtId="3" fontId="259" fillId="45" borderId="9" xfId="0" applyNumberFormat="1" applyFont="1" applyFill="1" applyBorder="1" applyAlignment="1" applyProtection="1">
      <alignment vertical="center"/>
    </xf>
    <xf numFmtId="49" fontId="260" fillId="0" borderId="1" xfId="0" applyNumberFormat="1" applyFont="1" applyFill="1" applyBorder="1" applyAlignment="1" applyProtection="1">
      <alignment horizontal="center" vertical="top"/>
    </xf>
    <xf numFmtId="183" fontId="25" fillId="48" borderId="56" xfId="0" applyNumberFormat="1" applyFont="1" applyFill="1" applyBorder="1" applyAlignment="1" applyProtection="1">
      <alignment vertical="top" wrapText="1"/>
    </xf>
    <xf numFmtId="3" fontId="259" fillId="48" borderId="1" xfId="0" applyNumberFormat="1" applyFont="1" applyFill="1" applyBorder="1" applyAlignment="1" applyProtection="1">
      <alignment vertical="center"/>
    </xf>
    <xf numFmtId="183" fontId="25" fillId="0" borderId="56" xfId="0" applyNumberFormat="1" applyFont="1" applyFill="1" applyBorder="1" applyAlignment="1" applyProtection="1">
      <alignment vertical="top" wrapText="1"/>
    </xf>
    <xf numFmtId="168" fontId="262" fillId="0" borderId="1" xfId="12" quotePrefix="1" applyNumberFormat="1" applyFont="1" applyFill="1" applyBorder="1" applyAlignment="1">
      <alignment horizontal="center" vertical="center"/>
    </xf>
    <xf numFmtId="183" fontId="144" fillId="0" borderId="56" xfId="0" applyNumberFormat="1" applyFont="1" applyFill="1" applyBorder="1" applyAlignment="1" applyProtection="1">
      <alignment vertical="top" wrapText="1"/>
    </xf>
    <xf numFmtId="3" fontId="140" fillId="0" borderId="1" xfId="0" applyNumberFormat="1" applyFont="1" applyFill="1" applyBorder="1" applyAlignment="1" applyProtection="1">
      <alignment vertical="center"/>
    </xf>
    <xf numFmtId="3" fontId="140" fillId="0" borderId="1" xfId="0" applyNumberFormat="1" applyFont="1" applyFill="1" applyBorder="1" applyAlignment="1" applyProtection="1">
      <alignment vertical="center"/>
      <protection locked="0"/>
    </xf>
    <xf numFmtId="183" fontId="25" fillId="0" borderId="56" xfId="0" quotePrefix="1" applyNumberFormat="1" applyFont="1" applyFill="1" applyBorder="1" applyAlignment="1" applyProtection="1">
      <alignment vertical="top" wrapText="1"/>
    </xf>
    <xf numFmtId="183" fontId="25" fillId="0" borderId="14" xfId="0" applyNumberFormat="1" applyFont="1" applyFill="1" applyBorder="1" applyAlignment="1" applyProtection="1">
      <alignment vertical="top" wrapText="1"/>
    </xf>
    <xf numFmtId="3" fontId="140" fillId="0" borderId="15" xfId="0" applyNumberFormat="1" applyFont="1" applyFill="1" applyBorder="1" applyAlignment="1" applyProtection="1">
      <alignment vertical="center"/>
    </xf>
    <xf numFmtId="3" fontId="140" fillId="0" borderId="15" xfId="0" applyNumberFormat="1" applyFont="1" applyFill="1" applyBorder="1" applyAlignment="1" applyProtection="1">
      <alignment vertical="center"/>
      <protection locked="0"/>
    </xf>
    <xf numFmtId="0" fontId="256" fillId="0" borderId="0" xfId="0" applyFont="1" applyFill="1" applyBorder="1" applyProtection="1"/>
    <xf numFmtId="0" fontId="263" fillId="45" borderId="8" xfId="0" quotePrefix="1" applyNumberFormat="1" applyFont="1" applyFill="1" applyBorder="1" applyAlignment="1" applyProtection="1">
      <alignment horizontal="left" vertical="top" wrapText="1"/>
    </xf>
    <xf numFmtId="0" fontId="139" fillId="0" borderId="56" xfId="0" applyNumberFormat="1" applyFont="1" applyFill="1" applyBorder="1" applyAlignment="1" applyProtection="1">
      <alignment vertical="top" wrapText="1"/>
    </xf>
    <xf numFmtId="0" fontId="143" fillId="0" borderId="1" xfId="0" applyNumberFormat="1" applyFont="1" applyFill="1" applyBorder="1" applyAlignment="1" applyProtection="1">
      <alignment horizontal="center" vertical="top"/>
    </xf>
    <xf numFmtId="0" fontId="143" fillId="48" borderId="8" xfId="0" quotePrefix="1" applyNumberFormat="1" applyFont="1" applyFill="1" applyBorder="1" applyAlignment="1" applyProtection="1">
      <alignment horizontal="left" vertical="top" wrapText="1"/>
    </xf>
    <xf numFmtId="0" fontId="143" fillId="48" borderId="3" xfId="0" quotePrefix="1" applyNumberFormat="1" applyFont="1" applyFill="1" applyBorder="1" applyAlignment="1" applyProtection="1">
      <alignment horizontal="center" vertical="top"/>
    </xf>
    <xf numFmtId="3" fontId="259" fillId="48" borderId="3" xfId="0" applyNumberFormat="1" applyFont="1" applyFill="1" applyBorder="1" applyAlignment="1" applyProtection="1">
      <alignment vertical="center"/>
    </xf>
    <xf numFmtId="0" fontId="264" fillId="0" borderId="56" xfId="0" applyNumberFormat="1" applyFont="1" applyFill="1" applyBorder="1" applyAlignment="1" applyProtection="1">
      <alignment horizontal="right" vertical="top" wrapText="1"/>
    </xf>
    <xf numFmtId="0" fontId="265" fillId="0" borderId="1" xfId="0" quotePrefix="1" applyNumberFormat="1" applyFont="1" applyFill="1" applyBorder="1" applyAlignment="1" applyProtection="1">
      <alignment horizontal="center" vertical="top"/>
    </xf>
    <xf numFmtId="3" fontId="264" fillId="0" borderId="1" xfId="0" applyNumberFormat="1" applyFont="1" applyFill="1" applyBorder="1" applyAlignment="1" applyProtection="1">
      <alignment vertical="center"/>
    </xf>
    <xf numFmtId="0" fontId="266" fillId="0" borderId="0" xfId="0" applyFont="1" applyFill="1" applyBorder="1" applyAlignment="1" applyProtection="1">
      <alignment vertical="top"/>
    </xf>
    <xf numFmtId="0" fontId="147" fillId="45" borderId="8" xfId="0" quotePrefix="1" applyNumberFormat="1" applyFont="1" applyFill="1" applyBorder="1" applyAlignment="1" applyProtection="1">
      <alignment horizontal="left" vertical="top" wrapText="1"/>
    </xf>
    <xf numFmtId="3" fontId="267" fillId="45" borderId="3" xfId="0" applyNumberFormat="1" applyFont="1" applyFill="1" applyBorder="1" applyAlignment="1" applyProtection="1">
      <alignment vertical="center"/>
    </xf>
    <xf numFmtId="3" fontId="267" fillId="45" borderId="9" xfId="0" applyNumberFormat="1" applyFont="1" applyFill="1" applyBorder="1" applyAlignment="1" applyProtection="1">
      <alignment vertical="center"/>
    </xf>
    <xf numFmtId="0" fontId="139" fillId="0" borderId="56" xfId="0" applyNumberFormat="1" applyFont="1" applyFill="1" applyBorder="1" applyAlignment="1" applyProtection="1">
      <alignment horizontal="left" vertical="top" wrapText="1"/>
    </xf>
    <xf numFmtId="0" fontId="34" fillId="0" borderId="1" xfId="0" applyNumberFormat="1" applyFont="1" applyFill="1" applyBorder="1" applyAlignment="1" applyProtection="1">
      <alignment horizontal="center" vertical="top"/>
    </xf>
    <xf numFmtId="3" fontId="25" fillId="0" borderId="1" xfId="0" applyNumberFormat="1" applyFont="1" applyFill="1" applyBorder="1" applyAlignment="1" applyProtection="1">
      <alignment vertical="center"/>
    </xf>
    <xf numFmtId="3" fontId="25" fillId="0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horizontal="left" vertical="top" wrapText="1"/>
    </xf>
    <xf numFmtId="3" fontId="267" fillId="0" borderId="1" xfId="0" applyNumberFormat="1" applyFont="1" applyFill="1" applyBorder="1" applyAlignment="1" applyProtection="1">
      <alignment vertical="center"/>
    </xf>
    <xf numFmtId="3" fontId="267" fillId="0" borderId="1" xfId="0" applyNumberFormat="1" applyFont="1" applyFill="1" applyBorder="1" applyAlignment="1" applyProtection="1">
      <alignment vertical="center"/>
      <protection locked="0"/>
    </xf>
    <xf numFmtId="183" fontId="259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quotePrefix="1" applyNumberFormat="1" applyFont="1" applyFill="1" applyBorder="1" applyAlignment="1" applyProtection="1">
      <alignment horizontal="left" vertical="top" wrapText="1"/>
    </xf>
    <xf numFmtId="3" fontId="267" fillId="48" borderId="1" xfId="0" applyNumberFormat="1" applyFont="1" applyFill="1" applyBorder="1" applyAlignment="1" applyProtection="1">
      <alignment vertical="center"/>
    </xf>
    <xf numFmtId="3" fontId="267" fillId="48" borderId="74" xfId="0" applyNumberFormat="1" applyFont="1" applyFill="1" applyBorder="1" applyAlignment="1" applyProtection="1">
      <alignment vertical="center"/>
    </xf>
    <xf numFmtId="0" fontId="25" fillId="0" borderId="56" xfId="0" applyNumberFormat="1" applyFont="1" applyFill="1" applyBorder="1" applyAlignment="1" applyProtection="1">
      <alignment horizontal="left" vertical="top" wrapText="1" indent="1"/>
    </xf>
    <xf numFmtId="0" fontId="25" fillId="0" borderId="56" xfId="0" quotePrefix="1" applyNumberFormat="1" applyFont="1" applyFill="1" applyBorder="1" applyAlignment="1" applyProtection="1">
      <alignment horizontal="left" vertical="top" wrapText="1" indent="1"/>
    </xf>
    <xf numFmtId="3" fontId="259" fillId="48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applyNumberFormat="1" applyFont="1" applyFill="1" applyBorder="1" applyAlignment="1" applyProtection="1">
      <alignment horizontal="left" vertical="top" wrapText="1"/>
    </xf>
    <xf numFmtId="0" fontId="25" fillId="0" borderId="169" xfId="0" quotePrefix="1" applyNumberFormat="1" applyFont="1" applyFill="1" applyBorder="1" applyAlignment="1" applyProtection="1">
      <alignment horizontal="left" vertical="top" wrapText="1" indent="1"/>
    </xf>
    <xf numFmtId="168" fontId="34" fillId="0" borderId="170" xfId="12" quotePrefix="1" applyNumberFormat="1" applyFont="1" applyFill="1" applyBorder="1" applyAlignment="1">
      <alignment horizontal="center" vertical="center"/>
    </xf>
    <xf numFmtId="3" fontId="259" fillId="0" borderId="170" xfId="0" applyNumberFormat="1" applyFont="1" applyFill="1" applyBorder="1" applyAlignment="1" applyProtection="1">
      <alignment vertical="center"/>
    </xf>
    <xf numFmtId="3" fontId="259" fillId="0" borderId="170" xfId="0" applyNumberFormat="1" applyFont="1" applyFill="1" applyBorder="1" applyAlignment="1" applyProtection="1">
      <alignment vertical="center"/>
      <protection locked="0"/>
    </xf>
    <xf numFmtId="3" fontId="259" fillId="0" borderId="171" xfId="0" applyNumberFormat="1" applyFont="1" applyFill="1" applyBorder="1" applyAlignment="1" applyProtection="1">
      <alignment vertical="center"/>
    </xf>
    <xf numFmtId="0" fontId="268" fillId="0" borderId="0" xfId="0" quotePrefix="1" applyFont="1" applyFill="1" applyBorder="1"/>
    <xf numFmtId="0" fontId="149" fillId="0" borderId="0" xfId="0" applyFont="1" applyFill="1" applyBorder="1"/>
    <xf numFmtId="0" fontId="150" fillId="0" borderId="0" xfId="0" applyFont="1" applyFill="1" applyBorder="1" applyAlignment="1">
      <alignment wrapText="1"/>
    </xf>
    <xf numFmtId="0" fontId="205" fillId="15" borderId="0" xfId="4" applyFont="1" applyFill="1" applyAlignment="1">
      <alignment horizontal="center" vertical="center"/>
    </xf>
    <xf numFmtId="0" fontId="34" fillId="0" borderId="125" xfId="0" applyFont="1" applyFill="1" applyBorder="1" applyAlignment="1" applyProtection="1">
      <alignment horizontal="center" vertical="center" wrapText="1"/>
    </xf>
    <xf numFmtId="3" fontId="259" fillId="45" borderId="3" xfId="0" applyNumberFormat="1" applyFont="1" applyFill="1" applyBorder="1" applyAlignment="1" applyProtection="1">
      <alignment vertical="top"/>
      <protection locked="0"/>
    </xf>
    <xf numFmtId="3" fontId="259" fillId="45" borderId="3" xfId="0" applyNumberFormat="1" applyFont="1" applyFill="1" applyBorder="1" applyAlignment="1" applyProtection="1">
      <alignment vertical="center"/>
      <protection locked="0"/>
    </xf>
    <xf numFmtId="3" fontId="267" fillId="45" borderId="3" xfId="0" applyNumberFormat="1" applyFont="1" applyFill="1" applyBorder="1" applyAlignment="1" applyProtection="1">
      <alignment vertical="center"/>
      <protection locked="0"/>
    </xf>
    <xf numFmtId="0" fontId="151" fillId="15" borderId="0" xfId="0" quotePrefix="1" applyFont="1" applyFill="1" applyAlignment="1">
      <alignment vertical="center"/>
    </xf>
    <xf numFmtId="168" fontId="269" fillId="48" borderId="1" xfId="0" applyNumberFormat="1" applyFont="1" applyFill="1" applyBorder="1" applyAlignment="1" applyProtection="1">
      <alignment horizontal="center" vertical="top"/>
    </xf>
    <xf numFmtId="168" fontId="270" fillId="44" borderId="109" xfId="0" quotePrefix="1" applyNumberFormat="1" applyFont="1" applyFill="1" applyBorder="1" applyAlignment="1" applyProtection="1">
      <alignment horizontal="center" vertical="top"/>
    </xf>
    <xf numFmtId="168" fontId="271" fillId="45" borderId="3" xfId="0" quotePrefix="1" applyNumberFormat="1" applyFont="1" applyFill="1" applyBorder="1" applyAlignment="1" applyProtection="1">
      <alignment horizontal="center" vertical="top"/>
    </xf>
    <xf numFmtId="168" fontId="271" fillId="45" borderId="3" xfId="0" applyNumberFormat="1" applyFont="1" applyFill="1" applyBorder="1" applyAlignment="1" applyProtection="1">
      <alignment horizontal="center" vertical="top"/>
    </xf>
    <xf numFmtId="0" fontId="161" fillId="49" borderId="0" xfId="6" applyFill="1"/>
    <xf numFmtId="0" fontId="161" fillId="17" borderId="0" xfId="6" applyFill="1"/>
    <xf numFmtId="174" fontId="170" fillId="50" borderId="22" xfId="4" applyNumberFormat="1" applyFont="1" applyFill="1" applyBorder="1" applyAlignment="1" applyProtection="1">
      <alignment horizontal="center" vertical="center"/>
    </xf>
    <xf numFmtId="174" fontId="170" fillId="30" borderId="88" xfId="4" applyNumberFormat="1" applyFont="1" applyFill="1" applyBorder="1" applyAlignment="1" applyProtection="1">
      <alignment horizontal="center" vertical="center"/>
    </xf>
    <xf numFmtId="174" fontId="170" fillId="30" borderId="8" xfId="4" applyNumberFormat="1" applyFont="1" applyFill="1" applyBorder="1" applyAlignment="1" applyProtection="1">
      <alignment horizontal="center" vertical="center"/>
    </xf>
    <xf numFmtId="174" fontId="170" fillId="30" borderId="4" xfId="4" applyNumberFormat="1" applyFont="1" applyFill="1" applyBorder="1" applyAlignment="1" applyProtection="1">
      <alignment horizontal="center" vertical="center"/>
    </xf>
    <xf numFmtId="174" fontId="170" fillId="26" borderId="88" xfId="4" applyNumberFormat="1" applyFont="1" applyFill="1" applyBorder="1" applyAlignment="1" applyProtection="1">
      <alignment horizontal="center" vertical="center"/>
    </xf>
    <xf numFmtId="174" fontId="170" fillId="26" borderId="8" xfId="4" applyNumberFormat="1" applyFont="1" applyFill="1" applyBorder="1" applyAlignment="1" applyProtection="1">
      <alignment horizontal="center" vertical="center"/>
    </xf>
    <xf numFmtId="174" fontId="170" fillId="26" borderId="4" xfId="4" applyNumberFormat="1" applyFont="1" applyFill="1" applyBorder="1" applyAlignment="1" applyProtection="1">
      <alignment horizontal="center" vertical="center"/>
    </xf>
    <xf numFmtId="174" fontId="170" fillId="21" borderId="115" xfId="4" applyNumberFormat="1" applyFont="1" applyFill="1" applyBorder="1" applyAlignment="1" applyProtection="1">
      <alignment horizontal="center" vertical="center"/>
    </xf>
    <xf numFmtId="174" fontId="170" fillId="21" borderId="102" xfId="4" applyNumberFormat="1" applyFont="1" applyFill="1" applyBorder="1" applyAlignment="1" applyProtection="1">
      <alignment horizontal="center" vertical="center"/>
    </xf>
    <xf numFmtId="3" fontId="12" fillId="15" borderId="172" xfId="4" applyNumberFormat="1" applyFont="1" applyFill="1" applyBorder="1" applyAlignment="1" applyProtection="1">
      <alignment horizontal="right" vertical="center"/>
      <protection locked="0"/>
    </xf>
    <xf numFmtId="3" fontId="12" fillId="15" borderId="173" xfId="4" applyNumberFormat="1" applyFont="1" applyFill="1" applyBorder="1" applyAlignment="1" applyProtection="1">
      <alignment horizontal="right" vertical="center"/>
      <protection locked="0"/>
    </xf>
    <xf numFmtId="3" fontId="12" fillId="15" borderId="174" xfId="4" applyNumberFormat="1" applyFont="1" applyFill="1" applyBorder="1" applyAlignment="1" applyProtection="1">
      <alignment horizontal="right" vertical="center"/>
      <protection locked="0"/>
    </xf>
    <xf numFmtId="174" fontId="170" fillId="21" borderId="14" xfId="4" applyNumberFormat="1" applyFont="1" applyFill="1" applyBorder="1" applyAlignment="1" applyProtection="1">
      <alignment horizontal="center" vertical="center"/>
    </xf>
    <xf numFmtId="174" fontId="170" fillId="21" borderId="83" xfId="4" applyNumberFormat="1" applyFont="1" applyFill="1" applyBorder="1" applyAlignment="1" applyProtection="1">
      <alignment horizontal="center" vertical="center"/>
    </xf>
    <xf numFmtId="174" fontId="170" fillId="21" borderId="172" xfId="4" applyNumberFormat="1" applyFont="1" applyFill="1" applyBorder="1" applyAlignment="1" applyProtection="1">
      <alignment horizontal="center" vertical="center"/>
    </xf>
    <xf numFmtId="174" fontId="170" fillId="31" borderId="175" xfId="4" applyNumberFormat="1" applyFont="1" applyFill="1" applyBorder="1" applyAlignment="1" applyProtection="1">
      <alignment horizontal="center" vertical="center"/>
    </xf>
    <xf numFmtId="174" fontId="170" fillId="50" borderId="176" xfId="4" applyNumberFormat="1" applyFont="1" applyFill="1" applyBorder="1" applyAlignment="1" applyProtection="1">
      <alignment horizontal="center" vertical="center"/>
    </xf>
    <xf numFmtId="174" fontId="170" fillId="50" borderId="177" xfId="4" applyNumberFormat="1" applyFont="1" applyFill="1" applyBorder="1" applyAlignment="1" applyProtection="1">
      <alignment horizontal="center" vertical="center"/>
    </xf>
    <xf numFmtId="174" fontId="170" fillId="31" borderId="178" xfId="4" applyNumberFormat="1" applyFont="1" applyFill="1" applyBorder="1" applyAlignment="1" applyProtection="1">
      <alignment horizontal="center" vertical="center"/>
    </xf>
    <xf numFmtId="174" fontId="170" fillId="31" borderId="162" xfId="4" applyNumberFormat="1" applyFont="1" applyFill="1" applyBorder="1" applyAlignment="1" applyProtection="1">
      <alignment horizontal="center" vertical="center"/>
    </xf>
    <xf numFmtId="168" fontId="272" fillId="51" borderId="22" xfId="12" quotePrefix="1" applyNumberFormat="1" applyFont="1" applyFill="1" applyBorder="1" applyAlignment="1">
      <alignment horizontal="right" vertical="center"/>
    </xf>
    <xf numFmtId="0" fontId="6" fillId="51" borderId="17" xfId="12" quotePrefix="1" applyFont="1" applyFill="1" applyBorder="1" applyAlignment="1">
      <alignment horizontal="right" vertical="center"/>
    </xf>
    <xf numFmtId="0" fontId="3" fillId="51" borderId="23" xfId="12" applyFont="1" applyFill="1" applyBorder="1" applyAlignment="1">
      <alignment horizontal="left" vertical="center" wrapText="1"/>
    </xf>
    <xf numFmtId="3" fontId="177" fillId="23" borderId="10" xfId="4" applyNumberFormat="1" applyFont="1" applyFill="1" applyBorder="1" applyAlignment="1" applyProtection="1">
      <alignment horizontal="center" vertical="center" wrapText="1"/>
    </xf>
    <xf numFmtId="0" fontId="3" fillId="0" borderId="0" xfId="12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/>
    <xf numFmtId="38" fontId="3" fillId="21" borderId="102" xfId="17" applyNumberFormat="1" applyFont="1" applyFill="1" applyBorder="1" applyAlignment="1" applyProtection="1"/>
    <xf numFmtId="38" fontId="273" fillId="21" borderId="116" xfId="17" applyNumberFormat="1" applyFont="1" applyFill="1" applyBorder="1" applyAlignment="1" applyProtection="1"/>
    <xf numFmtId="38" fontId="273" fillId="21" borderId="38" xfId="17" applyNumberFormat="1" applyFont="1" applyFill="1" applyBorder="1" applyAlignment="1" applyProtection="1"/>
    <xf numFmtId="38" fontId="273" fillId="21" borderId="138" xfId="17" applyNumberFormat="1" applyFont="1" applyFill="1" applyBorder="1" applyAlignment="1" applyProtection="1"/>
    <xf numFmtId="180" fontId="274" fillId="21" borderId="57" xfId="7" applyNumberFormat="1" applyFont="1" applyFill="1" applyBorder="1" applyAlignment="1" applyProtection="1"/>
    <xf numFmtId="180" fontId="275" fillId="21" borderId="57" xfId="7" applyNumberFormat="1" applyFont="1" applyFill="1" applyBorder="1" applyAlignment="1" applyProtection="1"/>
    <xf numFmtId="180" fontId="275" fillId="21" borderId="136" xfId="7" applyNumberFormat="1" applyFont="1" applyFill="1" applyBorder="1" applyAlignment="1" applyProtection="1"/>
    <xf numFmtId="38" fontId="273" fillId="21" borderId="116" xfId="17" applyNumberFormat="1" applyFont="1" applyFill="1" applyBorder="1" applyAlignment="1" applyProtection="1">
      <alignment horizontal="center"/>
    </xf>
    <xf numFmtId="38" fontId="273" fillId="21" borderId="38" xfId="17" applyNumberFormat="1" applyFont="1" applyFill="1" applyBorder="1" applyAlignment="1" applyProtection="1">
      <alignment horizontal="center"/>
    </xf>
    <xf numFmtId="38" fontId="273" fillId="21" borderId="138" xfId="17" applyNumberFormat="1" applyFont="1" applyFill="1" applyBorder="1" applyAlignment="1" applyProtection="1">
      <alignment horizontal="center"/>
    </xf>
    <xf numFmtId="174" fontId="170" fillId="17" borderId="4" xfId="4" applyNumberFormat="1" applyFont="1" applyFill="1" applyBorder="1" applyAlignment="1" applyProtection="1">
      <alignment horizontal="center" vertical="center"/>
    </xf>
    <xf numFmtId="174" fontId="170" fillId="21" borderId="51" xfId="4" applyNumberFormat="1" applyFont="1" applyFill="1" applyBorder="1" applyAlignment="1" applyProtection="1">
      <alignment horizontal="center" vertical="center"/>
    </xf>
    <xf numFmtId="174" fontId="170" fillId="21" borderId="179" xfId="4" applyNumberFormat="1" applyFont="1" applyFill="1" applyBorder="1" applyAlignment="1" applyProtection="1">
      <alignment horizontal="center" vertical="center"/>
    </xf>
    <xf numFmtId="174" fontId="170" fillId="31" borderId="102" xfId="4" applyNumberFormat="1" applyFont="1" applyFill="1" applyBorder="1" applyAlignment="1" applyProtection="1">
      <alignment horizontal="center" vertical="center"/>
    </xf>
    <xf numFmtId="174" fontId="170" fillId="31" borderId="137" xfId="4" applyNumberFormat="1" applyFont="1" applyFill="1" applyBorder="1" applyAlignment="1" applyProtection="1">
      <alignment horizontal="center" vertical="center"/>
    </xf>
    <xf numFmtId="174" fontId="170" fillId="31" borderId="24" xfId="4" applyNumberFormat="1" applyFont="1" applyFill="1" applyBorder="1" applyAlignment="1" applyProtection="1">
      <alignment horizontal="center" vertical="center"/>
    </xf>
    <xf numFmtId="174" fontId="170" fillId="31" borderId="20" xfId="4" applyNumberFormat="1" applyFont="1" applyFill="1" applyBorder="1" applyAlignment="1" applyProtection="1">
      <alignment horizontal="center" vertical="center"/>
    </xf>
    <xf numFmtId="174" fontId="170" fillId="31" borderId="173" xfId="4" applyNumberFormat="1" applyFont="1" applyFill="1" applyBorder="1" applyAlignment="1" applyProtection="1">
      <alignment horizontal="center" vertical="center"/>
    </xf>
    <xf numFmtId="174" fontId="170" fillId="31" borderId="172" xfId="4" applyNumberFormat="1" applyFont="1" applyFill="1" applyBorder="1" applyAlignment="1" applyProtection="1">
      <alignment horizontal="center" vertical="center"/>
    </xf>
    <xf numFmtId="174" fontId="170" fillId="21" borderId="180" xfId="4" applyNumberFormat="1" applyFont="1" applyFill="1" applyBorder="1" applyAlignment="1" applyProtection="1">
      <alignment horizontal="center" vertical="center"/>
    </xf>
    <xf numFmtId="174" fontId="170" fillId="21" borderId="181" xfId="4" applyNumberFormat="1" applyFont="1" applyFill="1" applyBorder="1" applyAlignment="1" applyProtection="1">
      <alignment horizontal="center" vertical="center"/>
    </xf>
    <xf numFmtId="3" fontId="12" fillId="15" borderId="182" xfId="4" applyNumberFormat="1" applyFont="1" applyFill="1" applyBorder="1" applyAlignment="1" applyProtection="1">
      <alignment horizontal="right" vertical="center"/>
      <protection locked="0"/>
    </xf>
    <xf numFmtId="174" fontId="170" fillId="21" borderId="183" xfId="4" applyNumberFormat="1" applyFont="1" applyFill="1" applyBorder="1" applyAlignment="1" applyProtection="1">
      <alignment horizontal="center" vertical="center"/>
    </xf>
    <xf numFmtId="174" fontId="170" fillId="24" borderId="4" xfId="4" applyNumberFormat="1" applyFont="1" applyFill="1" applyBorder="1" applyAlignment="1" applyProtection="1">
      <alignment horizontal="center" vertical="center"/>
    </xf>
    <xf numFmtId="1" fontId="12" fillId="0" borderId="21" xfId="4" applyNumberFormat="1" applyFont="1" applyFill="1" applyBorder="1" applyAlignment="1" applyProtection="1">
      <alignment horizontal="center" vertical="center"/>
      <protection locked="0"/>
    </xf>
    <xf numFmtId="0" fontId="205" fillId="15" borderId="17" xfId="4" applyFont="1" applyFill="1" applyBorder="1" applyAlignment="1">
      <alignment vertical="center"/>
    </xf>
    <xf numFmtId="0" fontId="276" fillId="0" borderId="0" xfId="0" applyFont="1" applyProtection="1"/>
    <xf numFmtId="0" fontId="54" fillId="0" borderId="0" xfId="4" applyFont="1" applyProtection="1"/>
    <xf numFmtId="0" fontId="54" fillId="0" borderId="0" xfId="4" applyFont="1" applyAlignment="1" applyProtection="1">
      <alignment horizontal="right"/>
    </xf>
    <xf numFmtId="0" fontId="166" fillId="17" borderId="3" xfId="0" applyFont="1" applyFill="1" applyBorder="1" applyAlignment="1" applyProtection="1">
      <alignment horizontal="right"/>
    </xf>
    <xf numFmtId="49" fontId="166" fillId="17" borderId="3" xfId="0" applyNumberFormat="1" applyFont="1" applyFill="1" applyBorder="1" applyAlignment="1" applyProtection="1">
      <alignment horizontal="right"/>
    </xf>
    <xf numFmtId="0" fontId="276" fillId="0" borderId="0" xfId="0" applyFont="1" applyAlignment="1" applyProtection="1">
      <alignment horizontal="right" wrapText="1"/>
    </xf>
    <xf numFmtId="14" fontId="166" fillId="17" borderId="3" xfId="0" applyNumberFormat="1" applyFont="1" applyFill="1" applyBorder="1" applyAlignment="1" applyProtection="1">
      <alignment horizontal="right"/>
    </xf>
    <xf numFmtId="0" fontId="277" fillId="0" borderId="0" xfId="0" applyFont="1" applyAlignment="1" applyProtection="1">
      <alignment horizontal="center"/>
    </xf>
    <xf numFmtId="0" fontId="278" fillId="17" borderId="155" xfId="0" applyFont="1" applyFill="1" applyBorder="1" applyAlignment="1" applyProtection="1">
      <alignment horizontal="left"/>
    </xf>
    <xf numFmtId="0" fontId="278" fillId="17" borderId="7" xfId="0" applyFont="1" applyFill="1" applyBorder="1" applyAlignment="1" applyProtection="1">
      <alignment horizontal="left"/>
    </xf>
    <xf numFmtId="0" fontId="278" fillId="17" borderId="160" xfId="0" applyFont="1" applyFill="1" applyBorder="1" applyAlignment="1" applyProtection="1">
      <alignment horizontal="left" vertical="center" wrapText="1"/>
    </xf>
    <xf numFmtId="0" fontId="278" fillId="17" borderId="143" xfId="0" applyFont="1" applyFill="1" applyBorder="1" applyAlignment="1" applyProtection="1">
      <alignment horizontal="left" vertical="center" wrapText="1"/>
    </xf>
    <xf numFmtId="0" fontId="278" fillId="17" borderId="10" xfId="0" applyFont="1" applyFill="1" applyBorder="1" applyAlignment="1" applyProtection="1">
      <alignment horizontal="left" vertical="center" wrapText="1"/>
    </xf>
    <xf numFmtId="3" fontId="278" fillId="17" borderId="14" xfId="0" applyNumberFormat="1" applyFont="1" applyFill="1" applyBorder="1" applyAlignment="1" applyProtection="1">
      <alignment horizontal="right" vertical="center" wrapText="1"/>
    </xf>
    <xf numFmtId="3" fontId="278" fillId="17" borderId="13" xfId="0" applyNumberFormat="1" applyFont="1" applyFill="1" applyBorder="1" applyAlignment="1" applyProtection="1">
      <alignment horizontal="right" vertical="center" wrapText="1"/>
    </xf>
    <xf numFmtId="3" fontId="278" fillId="17" borderId="82" xfId="0" applyNumberFormat="1" applyFont="1" applyFill="1" applyBorder="1" applyAlignment="1" applyProtection="1">
      <alignment horizontal="right" vertical="center" wrapText="1"/>
    </xf>
    <xf numFmtId="0" fontId="279" fillId="17" borderId="52" xfId="0" applyFont="1" applyFill="1" applyBorder="1" applyAlignment="1" applyProtection="1">
      <alignment horizontal="left" vertical="center" wrapText="1"/>
    </xf>
    <xf numFmtId="3" fontId="278" fillId="17" borderId="8" xfId="0" applyNumberFormat="1" applyFont="1" applyFill="1" applyBorder="1" applyAlignment="1" applyProtection="1">
      <alignment horizontal="right" vertical="center" wrapText="1"/>
    </xf>
    <xf numFmtId="3" fontId="278" fillId="17" borderId="9" xfId="0" applyNumberFormat="1" applyFont="1" applyFill="1" applyBorder="1" applyAlignment="1" applyProtection="1">
      <alignment horizontal="right" vertical="center" wrapText="1"/>
    </xf>
    <xf numFmtId="3" fontId="278" fillId="17" borderId="88" xfId="0" applyNumberFormat="1" applyFont="1" applyFill="1" applyBorder="1" applyAlignment="1" applyProtection="1">
      <alignment horizontal="right" vertical="center" wrapText="1"/>
    </xf>
    <xf numFmtId="3" fontId="278" fillId="0" borderId="184" xfId="0" applyNumberFormat="1" applyFont="1" applyBorder="1" applyAlignment="1" applyProtection="1">
      <alignment horizontal="right" vertical="center" wrapText="1"/>
      <protection locked="0"/>
    </xf>
    <xf numFmtId="3" fontId="278" fillId="0" borderId="185" xfId="0" applyNumberFormat="1" applyFont="1" applyBorder="1" applyAlignment="1" applyProtection="1">
      <alignment horizontal="right" vertical="center" wrapText="1"/>
      <protection locked="0"/>
    </xf>
    <xf numFmtId="3" fontId="278" fillId="17" borderId="184" xfId="0" applyNumberFormat="1" applyFont="1" applyFill="1" applyBorder="1" applyAlignment="1" applyProtection="1">
      <alignment horizontal="right" vertical="center" wrapText="1"/>
    </xf>
    <xf numFmtId="3" fontId="278" fillId="17" borderId="185" xfId="0" applyNumberFormat="1" applyFont="1" applyFill="1" applyBorder="1" applyAlignment="1" applyProtection="1">
      <alignment horizontal="right" vertical="center" wrapText="1"/>
    </xf>
    <xf numFmtId="3" fontId="278" fillId="17" borderId="186" xfId="0" applyNumberFormat="1" applyFont="1" applyFill="1" applyBorder="1" applyAlignment="1" applyProtection="1">
      <alignment horizontal="right" vertical="center" wrapText="1"/>
    </xf>
    <xf numFmtId="3" fontId="278" fillId="17" borderId="187" xfId="0" applyNumberFormat="1" applyFont="1" applyFill="1" applyBorder="1" applyAlignment="1" applyProtection="1">
      <alignment horizontal="right" vertical="center" wrapText="1"/>
    </xf>
    <xf numFmtId="3" fontId="278" fillId="17" borderId="188" xfId="0" applyNumberFormat="1" applyFont="1" applyFill="1" applyBorder="1" applyAlignment="1" applyProtection="1">
      <alignment horizontal="right" vertical="center" wrapText="1"/>
    </xf>
    <xf numFmtId="3" fontId="278" fillId="17" borderId="189" xfId="0" applyNumberFormat="1" applyFont="1" applyFill="1" applyBorder="1" applyAlignment="1" applyProtection="1">
      <alignment horizontal="right" vertical="center" wrapText="1"/>
    </xf>
    <xf numFmtId="3" fontId="278" fillId="17" borderId="85" xfId="0" applyNumberFormat="1" applyFont="1" applyFill="1" applyBorder="1" applyAlignment="1" applyProtection="1">
      <alignment horizontal="right" vertical="center" wrapText="1"/>
    </xf>
    <xf numFmtId="3" fontId="278" fillId="17" borderId="91" xfId="0" applyNumberFormat="1" applyFont="1" applyFill="1" applyBorder="1" applyAlignment="1" applyProtection="1">
      <alignment horizontal="right" vertical="center" wrapText="1"/>
    </xf>
    <xf numFmtId="0" fontId="276" fillId="17" borderId="52" xfId="0" applyFont="1" applyFill="1" applyBorder="1" applyAlignment="1" applyProtection="1">
      <alignment horizontal="left" vertical="center" wrapText="1"/>
    </xf>
    <xf numFmtId="3" fontId="278" fillId="17" borderId="101" xfId="0" applyNumberFormat="1" applyFont="1" applyFill="1" applyBorder="1" applyAlignment="1" applyProtection="1">
      <alignment horizontal="right" vertical="center" wrapText="1"/>
    </xf>
    <xf numFmtId="3" fontId="278" fillId="17" borderId="162" xfId="0" applyNumberFormat="1" applyFont="1" applyFill="1" applyBorder="1" applyAlignment="1" applyProtection="1">
      <alignment horizontal="right" vertical="center" wrapText="1"/>
    </xf>
    <xf numFmtId="3" fontId="278" fillId="17" borderId="24" xfId="0" applyNumberFormat="1" applyFont="1" applyFill="1" applyBorder="1" applyAlignment="1" applyProtection="1">
      <alignment horizontal="right" vertical="center" wrapText="1"/>
    </xf>
    <xf numFmtId="3" fontId="278" fillId="17" borderId="25" xfId="0" applyNumberFormat="1" applyFont="1" applyFill="1" applyBorder="1" applyAlignment="1" applyProtection="1">
      <alignment horizontal="right" vertical="center" wrapText="1"/>
    </xf>
    <xf numFmtId="3" fontId="278" fillId="17" borderId="29" xfId="0" applyNumberFormat="1" applyFont="1" applyFill="1" applyBorder="1" applyAlignment="1" applyProtection="1">
      <alignment horizontal="right" vertical="center" wrapText="1"/>
    </xf>
    <xf numFmtId="3" fontId="278" fillId="17" borderId="30" xfId="0" applyNumberFormat="1" applyFont="1" applyFill="1" applyBorder="1" applyAlignment="1" applyProtection="1">
      <alignment horizontal="right" vertical="center" wrapText="1"/>
    </xf>
    <xf numFmtId="0" fontId="278" fillId="17" borderId="125" xfId="0" applyFont="1" applyFill="1" applyBorder="1" applyAlignment="1" applyProtection="1">
      <alignment horizontal="right" vertical="center" wrapText="1"/>
    </xf>
    <xf numFmtId="3" fontId="278" fillId="17" borderId="190" xfId="0" applyNumberFormat="1" applyFont="1" applyFill="1" applyBorder="1" applyAlignment="1" applyProtection="1">
      <alignment horizontal="right" vertical="center" wrapText="1"/>
    </xf>
    <xf numFmtId="3" fontId="278" fillId="17" borderId="168" xfId="0" applyNumberFormat="1" applyFont="1" applyFill="1" applyBorder="1" applyAlignment="1" applyProtection="1">
      <alignment horizontal="right" vertical="center" wrapText="1"/>
    </xf>
    <xf numFmtId="3" fontId="278" fillId="17" borderId="124" xfId="0" applyNumberFormat="1" applyFont="1" applyFill="1" applyBorder="1" applyAlignment="1" applyProtection="1">
      <alignment horizontal="right" vertical="center" wrapText="1"/>
    </xf>
    <xf numFmtId="3" fontId="278" fillId="17" borderId="191" xfId="0" applyNumberFormat="1" applyFont="1" applyFill="1" applyBorder="1" applyAlignment="1" applyProtection="1">
      <alignment horizontal="right" vertical="center" wrapText="1"/>
    </xf>
    <xf numFmtId="0" fontId="280" fillId="0" borderId="0" xfId="0" applyFont="1" applyAlignment="1" applyProtection="1">
      <alignment horizontal="right"/>
    </xf>
    <xf numFmtId="3" fontId="280" fillId="0" borderId="0" xfId="0" applyNumberFormat="1" applyFont="1" applyProtection="1"/>
    <xf numFmtId="0" fontId="281" fillId="0" borderId="0" xfId="0" quotePrefix="1" applyFont="1" applyProtection="1"/>
    <xf numFmtId="0" fontId="32" fillId="0" borderId="54" xfId="0" applyFont="1" applyBorder="1" applyAlignment="1" applyProtection="1">
      <alignment horizontal="left"/>
    </xf>
    <xf numFmtId="0" fontId="276" fillId="0" borderId="53" xfId="0" applyFont="1" applyBorder="1" applyAlignment="1" applyProtection="1">
      <alignment horizontal="left" vertical="center" wrapText="1"/>
    </xf>
    <xf numFmtId="0" fontId="276" fillId="0" borderId="55" xfId="0" applyFont="1" applyBorder="1" applyAlignment="1" applyProtection="1">
      <alignment horizontal="left" vertical="center" wrapText="1"/>
    </xf>
    <xf numFmtId="0" fontId="276" fillId="0" borderId="54" xfId="0" applyFont="1" applyBorder="1" applyAlignment="1" applyProtection="1">
      <alignment horizontal="left" vertical="center" wrapText="1"/>
    </xf>
    <xf numFmtId="0" fontId="279" fillId="0" borderId="52" xfId="0" applyFont="1" applyBorder="1" applyAlignment="1" applyProtection="1">
      <alignment horizontal="left" vertical="center" wrapText="1"/>
    </xf>
    <xf numFmtId="0" fontId="276" fillId="0" borderId="90" xfId="0" applyFont="1" applyBorder="1" applyAlignment="1" applyProtection="1">
      <alignment horizontal="left" vertical="center" wrapText="1"/>
    </xf>
    <xf numFmtId="0" fontId="276" fillId="0" borderId="120" xfId="0" applyFont="1" applyBorder="1" applyAlignment="1" applyProtection="1">
      <alignment horizontal="left" vertical="center" wrapText="1"/>
    </xf>
    <xf numFmtId="0" fontId="276" fillId="0" borderId="57" xfId="0" applyFont="1" applyBorder="1" applyAlignment="1" applyProtection="1">
      <alignment horizontal="left" vertical="center" wrapText="1"/>
    </xf>
    <xf numFmtId="49" fontId="205" fillId="15" borderId="0" xfId="4" applyNumberFormat="1" applyFont="1" applyFill="1" applyAlignment="1">
      <alignment vertical="center"/>
    </xf>
    <xf numFmtId="0" fontId="276" fillId="0" borderId="0" xfId="0" quotePrefix="1" applyFont="1" applyAlignment="1" applyProtection="1">
      <alignment horizontal="right"/>
    </xf>
    <xf numFmtId="3" fontId="278" fillId="17" borderId="14" xfId="0" applyNumberFormat="1" applyFont="1" applyFill="1" applyBorder="1" applyAlignment="1" applyProtection="1">
      <alignment horizontal="center" vertical="center" wrapText="1"/>
    </xf>
    <xf numFmtId="0" fontId="278" fillId="17" borderId="82" xfId="0" applyFont="1" applyFill="1" applyBorder="1" applyAlignment="1" applyProtection="1">
      <alignment horizontal="center" vertical="center" wrapText="1"/>
    </xf>
    <xf numFmtId="3" fontId="278" fillId="17" borderId="8" xfId="0" applyNumberFormat="1" applyFont="1" applyFill="1" applyBorder="1" applyAlignment="1" applyProtection="1">
      <alignment horizontal="center" vertical="center" wrapText="1"/>
    </xf>
    <xf numFmtId="0" fontId="278" fillId="17" borderId="88" xfId="0" applyFont="1" applyFill="1" applyBorder="1" applyAlignment="1" applyProtection="1">
      <alignment horizontal="center" vertical="center" wrapText="1"/>
    </xf>
    <xf numFmtId="3" fontId="278" fillId="0" borderId="20" xfId="0" applyNumberFormat="1" applyFont="1" applyBorder="1" applyAlignment="1" applyProtection="1">
      <alignment horizontal="right" vertical="center" wrapText="1"/>
      <protection locked="0"/>
    </xf>
    <xf numFmtId="0" fontId="278" fillId="0" borderId="21" xfId="0" applyFont="1" applyBorder="1" applyAlignment="1" applyProtection="1">
      <alignment horizontal="center" vertical="center" wrapText="1"/>
      <protection locked="0"/>
    </xf>
    <xf numFmtId="3" fontId="278" fillId="17" borderId="192" xfId="0" applyNumberFormat="1" applyFont="1" applyFill="1" applyBorder="1" applyAlignment="1" applyProtection="1">
      <alignment horizontal="center" vertical="center" wrapText="1"/>
    </xf>
    <xf numFmtId="0" fontId="278" fillId="17" borderId="168" xfId="0" applyFont="1" applyFill="1" applyBorder="1" applyAlignment="1" applyProtection="1">
      <alignment horizontal="center" vertical="center" wrapText="1"/>
    </xf>
    <xf numFmtId="0" fontId="32" fillId="15" borderId="55" xfId="0" applyFont="1" applyFill="1" applyBorder="1" applyAlignment="1" applyProtection="1">
      <alignment horizontal="left" wrapText="1"/>
    </xf>
    <xf numFmtId="0" fontId="279" fillId="0" borderId="52" xfId="0" applyFont="1" applyFill="1" applyBorder="1" applyAlignment="1" applyProtection="1">
      <alignment horizontal="left" vertical="center" wrapText="1"/>
    </xf>
    <xf numFmtId="0" fontId="254" fillId="43" borderId="0" xfId="6" applyFont="1" applyFill="1"/>
    <xf numFmtId="0" fontId="254" fillId="0" borderId="0" xfId="6" applyFont="1"/>
    <xf numFmtId="0" fontId="34" fillId="42" borderId="0" xfId="4" applyFont="1" applyFill="1" applyAlignment="1">
      <alignment horizontal="center"/>
    </xf>
    <xf numFmtId="0" fontId="3" fillId="42" borderId="0" xfId="6" applyFont="1" applyFill="1" applyAlignment="1">
      <alignment horizontal="left" vertical="center" wrapText="1"/>
    </xf>
    <xf numFmtId="0" fontId="55" fillId="42" borderId="193" xfId="0" quotePrefix="1" applyFont="1" applyFill="1" applyBorder="1" applyAlignment="1">
      <alignment horizontal="left"/>
    </xf>
    <xf numFmtId="0" fontId="55" fillId="42" borderId="194" xfId="0" quotePrefix="1" applyFont="1" applyFill="1" applyBorder="1" applyAlignment="1">
      <alignment horizontal="left"/>
    </xf>
    <xf numFmtId="0" fontId="55" fillId="42" borderId="107" xfId="0" quotePrefix="1" applyFont="1" applyFill="1" applyBorder="1" applyAlignment="1">
      <alignment horizontal="left"/>
    </xf>
    <xf numFmtId="0" fontId="5" fillId="0" borderId="0" xfId="6" applyFont="1" applyAlignment="1">
      <alignment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4" applyFont="1" applyAlignment="1">
      <alignment horizontal="right" vertical="center"/>
    </xf>
    <xf numFmtId="171" fontId="35" fillId="42" borderId="0" xfId="15" quotePrefix="1" applyNumberFormat="1" applyFont="1" applyFill="1" applyAlignment="1">
      <alignment horizontal="right"/>
    </xf>
    <xf numFmtId="0" fontId="14" fillId="42" borderId="0" xfId="15" applyFont="1" applyFill="1"/>
    <xf numFmtId="0" fontId="14" fillId="42" borderId="0" xfId="15" quotePrefix="1" applyFont="1" applyFill="1" applyAlignment="1">
      <alignment horizontal="left"/>
    </xf>
    <xf numFmtId="0" fontId="9" fillId="42" borderId="0" xfId="15" quotePrefix="1" applyFont="1" applyFill="1" applyAlignment="1">
      <alignment horizontal="left"/>
    </xf>
    <xf numFmtId="0" fontId="9" fillId="42" borderId="0" xfId="15" applyFont="1" applyFill="1"/>
    <xf numFmtId="0" fontId="21" fillId="42" borderId="0" xfId="15" applyFont="1" applyFill="1" applyAlignment="1">
      <alignment horizontal="left"/>
    </xf>
    <xf numFmtId="0" fontId="9" fillId="42" borderId="0" xfId="15" applyFont="1" applyFill="1" applyAlignment="1">
      <alignment horizontal="left"/>
    </xf>
    <xf numFmtId="0" fontId="15" fillId="42" borderId="0" xfId="15" applyFont="1" applyFill="1"/>
    <xf numFmtId="0" fontId="15" fillId="42" borderId="0" xfId="15" quotePrefix="1" applyFont="1" applyFill="1" applyAlignment="1">
      <alignment horizontal="left"/>
    </xf>
    <xf numFmtId="0" fontId="9" fillId="42" borderId="0" xfId="12" applyFont="1" applyFill="1" applyAlignment="1">
      <alignment horizontal="left"/>
    </xf>
    <xf numFmtId="0" fontId="21" fillId="42" borderId="0" xfId="12" applyFont="1" applyFill="1" applyAlignment="1">
      <alignment horizontal="left"/>
    </xf>
    <xf numFmtId="0" fontId="21" fillId="42" borderId="0" xfId="15" quotePrefix="1" applyFont="1" applyFill="1" applyAlignment="1">
      <alignment horizontal="left"/>
    </xf>
    <xf numFmtId="0" fontId="15" fillId="42" borderId="0" xfId="15" applyFont="1" applyFill="1" applyAlignment="1">
      <alignment horizontal="left"/>
    </xf>
    <xf numFmtId="171" fontId="36" fillId="42" borderId="0" xfId="15" quotePrefix="1" applyNumberFormat="1" applyFont="1" applyFill="1" applyAlignment="1">
      <alignment horizontal="right"/>
    </xf>
    <xf numFmtId="0" fontId="21" fillId="42" borderId="0" xfId="15" applyFont="1" applyFill="1"/>
    <xf numFmtId="171" fontId="35" fillId="42" borderId="0" xfId="15" applyNumberFormat="1" applyFont="1" applyFill="1" applyAlignment="1">
      <alignment horizontal="right"/>
    </xf>
    <xf numFmtId="0" fontId="14" fillId="42" borderId="0" xfId="15" applyFont="1" applyFill="1" applyAlignment="1">
      <alignment horizontal="left"/>
    </xf>
    <xf numFmtId="0" fontId="30" fillId="17" borderId="0" xfId="4" applyFont="1" applyFill="1"/>
    <xf numFmtId="0" fontId="29" fillId="17" borderId="0" xfId="4" applyFont="1" applyFill="1"/>
    <xf numFmtId="0" fontId="30" fillId="42" borderId="0" xfId="4" applyFont="1" applyFill="1"/>
    <xf numFmtId="0" fontId="29" fillId="42" borderId="0" xfId="4" applyFont="1" applyFill="1"/>
    <xf numFmtId="0" fontId="30" fillId="42" borderId="3" xfId="4" applyFont="1" applyFill="1" applyBorder="1" applyProtection="1">
      <protection locked="0"/>
    </xf>
    <xf numFmtId="49" fontId="30" fillId="42" borderId="0" xfId="4" applyNumberFormat="1" applyFont="1" applyFill="1"/>
    <xf numFmtId="0" fontId="8" fillId="46" borderId="0" xfId="13" quotePrefix="1" applyFont="1" applyFill="1" applyAlignment="1">
      <alignment horizontal="left"/>
    </xf>
    <xf numFmtId="169" fontId="254" fillId="0" borderId="0" xfId="6" applyNumberFormat="1" applyFont="1"/>
    <xf numFmtId="172" fontId="8" fillId="42" borderId="0" xfId="13" quotePrefix="1" applyNumberFormat="1" applyFont="1" applyFill="1" applyAlignment="1">
      <alignment horizontal="left"/>
    </xf>
    <xf numFmtId="0" fontId="254" fillId="0" borderId="0" xfId="6" quotePrefix="1" applyFont="1"/>
    <xf numFmtId="0" fontId="3" fillId="0" borderId="3" xfId="11" applyFont="1" applyBorder="1"/>
    <xf numFmtId="0" fontId="249" fillId="0" borderId="0" xfId="4" quotePrefix="1" applyFont="1" applyAlignment="1">
      <alignment horizontal="center"/>
    </xf>
    <xf numFmtId="0" fontId="253" fillId="0" borderId="0" xfId="4" applyFont="1" applyAlignment="1">
      <alignment horizontal="left"/>
    </xf>
    <xf numFmtId="0" fontId="254" fillId="0" borderId="3" xfId="6" applyFont="1" applyBorder="1"/>
    <xf numFmtId="0" fontId="24" fillId="36" borderId="0" xfId="4" applyFont="1" applyFill="1" applyBorder="1" applyAlignment="1">
      <alignment vertical="center"/>
    </xf>
    <xf numFmtId="184" fontId="278" fillId="17" borderId="14" xfId="0" applyNumberFormat="1" applyFont="1" applyFill="1" applyBorder="1" applyAlignment="1" applyProtection="1">
      <alignment horizontal="right" vertical="center" wrapText="1"/>
    </xf>
    <xf numFmtId="184" fontId="278" fillId="17" borderId="82" xfId="0" applyNumberFormat="1" applyFont="1" applyFill="1" applyBorder="1" applyAlignment="1" applyProtection="1">
      <alignment horizontal="right" vertical="center" wrapText="1"/>
    </xf>
    <xf numFmtId="184" fontId="278" fillId="17" borderId="8" xfId="0" applyNumberFormat="1" applyFont="1" applyFill="1" applyBorder="1" applyAlignment="1" applyProtection="1">
      <alignment horizontal="right" vertical="center" wrapText="1"/>
    </xf>
    <xf numFmtId="184" fontId="278" fillId="17" borderId="88" xfId="0" applyNumberFormat="1" applyFont="1" applyFill="1" applyBorder="1" applyAlignment="1" applyProtection="1">
      <alignment horizontal="right" vertical="center" wrapText="1"/>
    </xf>
    <xf numFmtId="184" fontId="278" fillId="17" borderId="124" xfId="0" applyNumberFormat="1" applyFont="1" applyFill="1" applyBorder="1" applyAlignment="1" applyProtection="1">
      <alignment horizontal="right" vertical="center" wrapText="1"/>
    </xf>
    <xf numFmtId="184" fontId="278" fillId="17" borderId="191" xfId="0" applyNumberFormat="1" applyFont="1" applyFill="1" applyBorder="1" applyAlignment="1" applyProtection="1">
      <alignment horizontal="right" vertical="center" wrapText="1"/>
    </xf>
    <xf numFmtId="0" fontId="282" fillId="0" borderId="0" xfId="0" applyFont="1" applyAlignment="1">
      <alignment horizontal="centerContinuous"/>
    </xf>
    <xf numFmtId="0" fontId="278" fillId="0" borderId="0" xfId="0" applyFont="1" applyAlignment="1">
      <alignment horizontal="centerContinuous"/>
    </xf>
    <xf numFmtId="0" fontId="282" fillId="0" borderId="0" xfId="0" applyFont="1" applyAlignment="1">
      <alignment horizontal="centerContinuous" vertical="top"/>
    </xf>
    <xf numFmtId="0" fontId="276" fillId="0" borderId="0" xfId="0" applyFont="1" applyAlignment="1">
      <alignment horizontal="centerContinuous"/>
    </xf>
    <xf numFmtId="184" fontId="280" fillId="0" borderId="0" xfId="0" applyNumberFormat="1" applyFont="1" applyProtection="1"/>
    <xf numFmtId="184" fontId="278" fillId="0" borderId="184" xfId="0" applyNumberFormat="1" applyFont="1" applyBorder="1" applyAlignment="1" applyProtection="1">
      <alignment horizontal="right" vertical="center" wrapText="1"/>
    </xf>
    <xf numFmtId="184" fontId="278" fillId="0" borderId="185" xfId="0" applyNumberFormat="1" applyFont="1" applyBorder="1" applyAlignment="1" applyProtection="1">
      <alignment horizontal="right" vertical="center" wrapText="1"/>
    </xf>
    <xf numFmtId="0" fontId="179" fillId="24" borderId="16" xfId="4" applyFont="1" applyFill="1" applyBorder="1" applyAlignment="1" applyProtection="1">
      <alignment vertical="center" wrapText="1"/>
    </xf>
    <xf numFmtId="0" fontId="54" fillId="15" borderId="104" xfId="7" applyFont="1" applyFill="1" applyBorder="1" applyAlignment="1" applyProtection="1">
      <alignment horizontal="center"/>
    </xf>
    <xf numFmtId="0" fontId="54" fillId="15" borderId="108" xfId="7" applyFont="1" applyFill="1" applyBorder="1" applyAlignment="1" applyProtection="1">
      <alignment horizontal="center"/>
    </xf>
    <xf numFmtId="0" fontId="54" fillId="15" borderId="105" xfId="7" applyFont="1" applyFill="1" applyBorder="1" applyAlignment="1" applyProtection="1">
      <alignment horizontal="center"/>
    </xf>
    <xf numFmtId="0" fontId="283" fillId="35" borderId="94" xfId="8" applyFont="1" applyFill="1" applyBorder="1" applyAlignment="1" applyProtection="1">
      <alignment horizontal="center"/>
    </xf>
    <xf numFmtId="1" fontId="54" fillId="17" borderId="99" xfId="7" applyNumberFormat="1" applyFont="1" applyFill="1" applyBorder="1" applyAlignment="1" applyProtection="1">
      <alignment horizontal="center"/>
    </xf>
    <xf numFmtId="0" fontId="54" fillId="17" borderId="99" xfId="7" applyNumberFormat="1" applyFont="1" applyFill="1" applyBorder="1" applyAlignment="1" applyProtection="1">
      <alignment horizontal="center"/>
    </xf>
    <xf numFmtId="38" fontId="12" fillId="15" borderId="113" xfId="17" applyNumberFormat="1" applyFont="1" applyFill="1" applyBorder="1" applyAlignment="1" applyProtection="1">
      <alignment horizontal="center"/>
    </xf>
    <xf numFmtId="38" fontId="12" fillId="15" borderId="32" xfId="17" applyNumberFormat="1" applyFont="1" applyFill="1" applyBorder="1" applyAlignment="1" applyProtection="1">
      <alignment horizontal="center"/>
    </xf>
    <xf numFmtId="38" fontId="12" fillId="15" borderId="39" xfId="17" applyNumberFormat="1" applyFont="1" applyFill="1" applyBorder="1" applyAlignment="1" applyProtection="1">
      <alignment horizontal="center"/>
    </xf>
    <xf numFmtId="38" fontId="6" fillId="24" borderId="31" xfId="17" applyNumberFormat="1" applyFont="1" applyFill="1" applyBorder="1" applyAlignment="1" applyProtection="1">
      <alignment horizontal="center"/>
    </xf>
    <xf numFmtId="38" fontId="6" fillId="24" borderId="16" xfId="17" applyNumberFormat="1" applyFont="1" applyFill="1" applyBorder="1" applyAlignment="1" applyProtection="1">
      <alignment horizontal="center"/>
    </xf>
    <xf numFmtId="38" fontId="6" fillId="24" borderId="88" xfId="17" applyNumberFormat="1" applyFont="1" applyFill="1" applyBorder="1" applyAlignment="1" applyProtection="1">
      <alignment horizontal="center"/>
    </xf>
    <xf numFmtId="38" fontId="3" fillId="15" borderId="132" xfId="17" applyNumberFormat="1" applyFont="1" applyFill="1" applyBorder="1" applyAlignment="1" applyProtection="1">
      <alignment horizontal="center"/>
    </xf>
    <xf numFmtId="38" fontId="3" fillId="15" borderId="99" xfId="17" applyNumberFormat="1" applyFont="1" applyFill="1" applyBorder="1" applyAlignment="1" applyProtection="1">
      <alignment horizontal="center"/>
    </xf>
    <xf numFmtId="38" fontId="3" fillId="15" borderId="133" xfId="17" applyNumberFormat="1" applyFont="1" applyFill="1" applyBorder="1" applyAlignment="1" applyProtection="1">
      <alignment horizont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center"/>
    </xf>
    <xf numFmtId="0" fontId="54" fillId="39" borderId="142" xfId="7" quotePrefix="1" applyFont="1" applyFill="1" applyBorder="1" applyAlignment="1" applyProtection="1">
      <alignment horizontal="center"/>
    </xf>
    <xf numFmtId="0" fontId="54" fillId="39" borderId="143" xfId="7" quotePrefix="1" applyFont="1" applyFill="1" applyBorder="1" applyAlignment="1" applyProtection="1">
      <alignment horizontal="center"/>
    </xf>
    <xf numFmtId="38" fontId="184" fillId="40" borderId="113" xfId="17" applyNumberFormat="1" applyFont="1" applyFill="1" applyBorder="1" applyAlignment="1" applyProtection="1">
      <alignment horizontal="center"/>
    </xf>
    <xf numFmtId="38" fontId="184" fillId="40" borderId="32" xfId="17" applyNumberFormat="1" applyFont="1" applyFill="1" applyBorder="1" applyAlignment="1" applyProtection="1">
      <alignment horizontal="center"/>
    </xf>
    <xf numFmtId="38" fontId="184" fillId="40" borderId="39" xfId="17" applyNumberFormat="1" applyFont="1" applyFill="1" applyBorder="1" applyAlignment="1" applyProtection="1">
      <alignment horizontal="center"/>
    </xf>
    <xf numFmtId="0" fontId="54" fillId="26" borderId="141" xfId="7" applyFont="1" applyFill="1" applyBorder="1" applyAlignment="1" applyProtection="1">
      <alignment horizontal="center"/>
    </xf>
    <xf numFmtId="0" fontId="54" fillId="26" borderId="142" xfId="7" applyFont="1" applyFill="1" applyBorder="1" applyAlignment="1" applyProtection="1">
      <alignment horizontal="center"/>
    </xf>
    <xf numFmtId="0" fontId="54" fillId="26" borderId="143" xfId="7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center"/>
    </xf>
    <xf numFmtId="0" fontId="54" fillId="19" borderId="142" xfId="7" applyFont="1" applyFill="1" applyBorder="1" applyAlignment="1" applyProtection="1">
      <alignment horizontal="center"/>
    </xf>
    <xf numFmtId="0" fontId="54" fillId="19" borderId="143" xfId="7" applyFont="1" applyFill="1" applyBorder="1" applyAlignment="1" applyProtection="1">
      <alignment horizontal="center"/>
    </xf>
    <xf numFmtId="38" fontId="75" fillId="15" borderId="132" xfId="17" applyNumberFormat="1" applyFont="1" applyFill="1" applyBorder="1" applyAlignment="1" applyProtection="1">
      <alignment horizontal="center"/>
    </xf>
    <xf numFmtId="38" fontId="75" fillId="15" borderId="99" xfId="17" applyNumberFormat="1" applyFont="1" applyFill="1" applyBorder="1" applyAlignment="1" applyProtection="1">
      <alignment horizontal="center"/>
    </xf>
    <xf numFmtId="38" fontId="75" fillId="15" borderId="133" xfId="17" applyNumberFormat="1" applyFont="1" applyFill="1" applyBorder="1" applyAlignment="1" applyProtection="1">
      <alignment horizontal="center"/>
    </xf>
    <xf numFmtId="38" fontId="29" fillId="15" borderId="113" xfId="17" applyNumberFormat="1" applyFont="1" applyFill="1" applyBorder="1" applyAlignment="1" applyProtection="1">
      <alignment horizontal="center"/>
    </xf>
    <xf numFmtId="38" fontId="29" fillId="15" borderId="32" xfId="17" applyNumberFormat="1" applyFont="1" applyFill="1" applyBorder="1" applyAlignment="1" applyProtection="1">
      <alignment horizontal="center"/>
    </xf>
    <xf numFmtId="38" fontId="29" fillId="15" borderId="39" xfId="17" applyNumberFormat="1" applyFont="1" applyFill="1" applyBorder="1" applyAlignment="1" applyProtection="1">
      <alignment horizontal="center"/>
    </xf>
    <xf numFmtId="0" fontId="283" fillId="15" borderId="17" xfId="8" applyFont="1" applyFill="1" applyBorder="1" applyAlignment="1" applyProtection="1">
      <alignment horizontal="center"/>
    </xf>
    <xf numFmtId="0" fontId="283" fillId="15" borderId="0" xfId="8" applyFont="1" applyFill="1" applyBorder="1" applyAlignment="1" applyProtection="1">
      <alignment horizontal="center"/>
    </xf>
    <xf numFmtId="0" fontId="283" fillId="15" borderId="2" xfId="8" applyFont="1" applyFill="1" applyBorder="1" applyAlignment="1" applyProtection="1">
      <alignment horizontal="center"/>
    </xf>
    <xf numFmtId="38" fontId="3" fillId="15" borderId="113" xfId="17" applyNumberFormat="1" applyFont="1" applyFill="1" applyBorder="1" applyAlignment="1" applyProtection="1">
      <alignment horizontal="center"/>
    </xf>
    <xf numFmtId="38" fontId="3" fillId="15" borderId="32" xfId="17" applyNumberFormat="1" applyFont="1" applyFill="1" applyBorder="1" applyAlignment="1" applyProtection="1">
      <alignment horizontal="center"/>
    </xf>
    <xf numFmtId="38" fontId="3" fillId="15" borderId="39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>
      <alignment horizontal="center"/>
    </xf>
    <xf numFmtId="38" fontId="14" fillId="21" borderId="19" xfId="17" applyNumberFormat="1" applyFont="1" applyFill="1" applyBorder="1" applyAlignment="1" applyProtection="1">
      <alignment horizontal="center"/>
    </xf>
    <xf numFmtId="38" fontId="14" fillId="21" borderId="137" xfId="17" applyNumberFormat="1" applyFont="1" applyFill="1" applyBorder="1" applyAlignment="1" applyProtection="1">
      <alignment horizontal="center"/>
    </xf>
    <xf numFmtId="38" fontId="14" fillId="21" borderId="115" xfId="17" applyNumberFormat="1" applyFont="1" applyFill="1" applyBorder="1" applyAlignment="1" applyProtection="1">
      <alignment horizontal="center"/>
    </xf>
    <xf numFmtId="38" fontId="14" fillId="21" borderId="23" xfId="17" applyNumberFormat="1" applyFont="1" applyFill="1" applyBorder="1" applyAlignment="1" applyProtection="1">
      <alignment horizontal="center"/>
    </xf>
    <xf numFmtId="38" fontId="14" fillId="21" borderId="102" xfId="17" applyNumberFormat="1" applyFont="1" applyFill="1" applyBorder="1" applyAlignment="1" applyProtection="1">
      <alignment horizontal="center"/>
    </xf>
    <xf numFmtId="38" fontId="14" fillId="21" borderId="113" xfId="17" applyNumberFormat="1" applyFont="1" applyFill="1" applyBorder="1" applyAlignment="1" applyProtection="1">
      <alignment horizontal="center"/>
    </xf>
    <xf numFmtId="38" fontId="14" fillId="21" borderId="32" xfId="17" applyNumberFormat="1" applyFont="1" applyFill="1" applyBorder="1" applyAlignment="1" applyProtection="1">
      <alignment horizontal="center"/>
    </xf>
    <xf numFmtId="38" fontId="14" fillId="21" borderId="39" xfId="17" applyNumberFormat="1" applyFont="1" applyFill="1" applyBorder="1" applyAlignment="1" applyProtection="1">
      <alignment horizontal="center"/>
    </xf>
    <xf numFmtId="0" fontId="85" fillId="19" borderId="5" xfId="4" applyFont="1" applyFill="1" applyBorder="1" applyAlignment="1" applyProtection="1">
      <alignment horizontal="center" vertical="center"/>
    </xf>
    <xf numFmtId="0" fontId="85" fillId="19" borderId="6" xfId="4" applyFont="1" applyFill="1" applyBorder="1" applyAlignment="1" applyProtection="1">
      <alignment horizontal="center" vertical="center"/>
    </xf>
    <xf numFmtId="0" fontId="85" fillId="19" borderId="7" xfId="4" applyFont="1" applyFill="1" applyBorder="1" applyAlignment="1" applyProtection="1">
      <alignment horizontal="center" vertical="center"/>
    </xf>
    <xf numFmtId="0" fontId="85" fillId="15" borderId="31" xfId="7" applyFont="1" applyFill="1" applyBorder="1" applyAlignment="1" applyProtection="1">
      <alignment horizontal="center" vertical="center" wrapText="1"/>
    </xf>
    <xf numFmtId="0" fontId="85" fillId="15" borderId="16" xfId="7" applyFont="1" applyFill="1" applyBorder="1" applyAlignment="1" applyProtection="1">
      <alignment horizontal="center" vertical="center" wrapText="1"/>
    </xf>
    <xf numFmtId="0" fontId="85" fillId="15" borderId="88" xfId="7" applyFont="1" applyFill="1" applyBorder="1" applyAlignment="1" applyProtection="1">
      <alignment horizontal="center" vertical="center" wrapText="1"/>
    </xf>
    <xf numFmtId="38" fontId="3" fillId="21" borderId="115" xfId="17" applyNumberFormat="1" applyFont="1" applyFill="1" applyBorder="1" applyAlignment="1" applyProtection="1">
      <alignment horizontal="center" vertical="center"/>
    </xf>
    <xf numFmtId="38" fontId="3" fillId="21" borderId="23" xfId="17" applyNumberFormat="1" applyFont="1" applyFill="1" applyBorder="1" applyAlignment="1" applyProtection="1">
      <alignment horizontal="center" vertical="center"/>
    </xf>
    <xf numFmtId="38" fontId="3" fillId="21" borderId="102" xfId="17" applyNumberFormat="1" applyFont="1" applyFill="1" applyBorder="1" applyAlignment="1" applyProtection="1">
      <alignment horizontal="center" vertical="center"/>
    </xf>
    <xf numFmtId="177" fontId="215" fillId="17" borderId="0" xfId="7" applyNumberFormat="1" applyFont="1" applyFill="1" applyBorder="1" applyAlignment="1" applyProtection="1">
      <alignment horizontal="center"/>
    </xf>
    <xf numFmtId="0" fontId="206" fillId="15" borderId="100" xfId="4" quotePrefix="1" applyFont="1" applyFill="1" applyBorder="1" applyAlignment="1" applyProtection="1">
      <alignment horizontal="center" vertical="center"/>
    </xf>
    <xf numFmtId="0" fontId="206" fillId="15" borderId="16" xfId="4" quotePrefix="1" applyFont="1" applyFill="1" applyBorder="1" applyAlignment="1" applyProtection="1">
      <alignment horizontal="center" vertical="center"/>
    </xf>
    <xf numFmtId="0" fontId="206" fillId="15" borderId="4" xfId="4" quotePrefix="1" applyFont="1" applyFill="1" applyBorder="1" applyAlignment="1" applyProtection="1">
      <alignment horizontal="center" vertical="center"/>
    </xf>
    <xf numFmtId="172" fontId="159" fillId="15" borderId="100" xfId="2" applyNumberFormat="1" applyFill="1" applyBorder="1" applyAlignment="1" applyProtection="1">
      <alignment horizontal="center" vertical="center"/>
    </xf>
    <xf numFmtId="172" fontId="213" fillId="15" borderId="4" xfId="4" applyNumberFormat="1" applyFont="1" applyFill="1" applyBorder="1" applyAlignment="1" applyProtection="1">
      <alignment horizontal="center" vertical="center"/>
    </xf>
    <xf numFmtId="3" fontId="159" fillId="15" borderId="100" xfId="2" applyNumberFormat="1" applyFill="1" applyBorder="1" applyAlignment="1" applyProtection="1">
      <alignment horizontal="center"/>
    </xf>
    <xf numFmtId="0" fontId="213" fillId="15" borderId="16" xfId="16" applyFont="1" applyFill="1" applyBorder="1" applyAlignment="1" applyProtection="1">
      <alignment horizontal="center"/>
    </xf>
    <xf numFmtId="0" fontId="213" fillId="15" borderId="4" xfId="16" applyFont="1" applyFill="1" applyBorder="1" applyAlignment="1" applyProtection="1">
      <alignment horizontal="center"/>
    </xf>
    <xf numFmtId="1" fontId="176" fillId="24" borderId="100" xfId="4" applyNumberFormat="1" applyFont="1" applyFill="1" applyBorder="1" applyAlignment="1" applyProtection="1">
      <alignment horizontal="center" vertical="center"/>
    </xf>
    <xf numFmtId="1" fontId="176" fillId="24" borderId="4" xfId="4" applyNumberFormat="1" applyFont="1" applyFill="1" applyBorder="1" applyAlignment="1" applyProtection="1">
      <alignment horizontal="center" vertical="center"/>
    </xf>
    <xf numFmtId="0" fontId="284" fillId="17" borderId="0" xfId="7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3" fillId="15" borderId="50" xfId="4" applyFont="1" applyFill="1" applyBorder="1" applyAlignment="1" applyProtection="1">
      <alignment horizontal="right" vertical="top" wrapText="1"/>
    </xf>
    <xf numFmtId="0" fontId="3" fillId="15" borderId="0" xfId="4" applyFont="1" applyFill="1" applyAlignment="1" applyProtection="1">
      <alignment horizontal="right" vertical="top" wrapText="1"/>
    </xf>
    <xf numFmtId="0" fontId="87" fillId="19" borderId="117" xfId="4" applyFont="1" applyFill="1" applyBorder="1" applyAlignment="1" applyProtection="1">
      <alignment horizontal="center" vertical="center" wrapText="1"/>
    </xf>
    <xf numFmtId="0" fontId="87" fillId="19" borderId="10" xfId="4" applyFont="1" applyFill="1" applyBorder="1" applyAlignment="1" applyProtection="1">
      <alignment horizontal="center" vertical="center" wrapText="1"/>
    </xf>
    <xf numFmtId="0" fontId="163" fillId="19" borderId="117" xfId="0" applyFont="1" applyFill="1" applyBorder="1" applyAlignment="1" applyProtection="1">
      <alignment horizontal="center" vertical="center" wrapText="1"/>
    </xf>
    <xf numFmtId="0" fontId="163" fillId="19" borderId="10" xfId="0" applyFont="1" applyFill="1" applyBorder="1" applyAlignment="1" applyProtection="1">
      <alignment horizontal="center" vertical="center" wrapText="1"/>
    </xf>
    <xf numFmtId="0" fontId="9" fillId="15" borderId="50" xfId="4" applyFont="1" applyFill="1" applyBorder="1" applyAlignment="1" applyProtection="1">
      <alignment horizontal="center" vertical="center"/>
    </xf>
    <xf numFmtId="0" fontId="14" fillId="15" borderId="194" xfId="4" applyFont="1" applyFill="1" applyBorder="1" applyAlignment="1" applyProtection="1">
      <alignment horizontal="center"/>
    </xf>
    <xf numFmtId="0" fontId="14" fillId="15" borderId="12" xfId="4" applyFont="1" applyFill="1" applyBorder="1" applyAlignment="1" applyProtection="1">
      <alignment horizontal="center"/>
    </xf>
    <xf numFmtId="0" fontId="14" fillId="15" borderId="50" xfId="4" applyFont="1" applyFill="1" applyBorder="1" applyAlignment="1" applyProtection="1">
      <alignment horizontal="center" vertical="center"/>
    </xf>
    <xf numFmtId="14" fontId="38" fillId="17" borderId="100" xfId="9" applyNumberFormat="1" applyFont="1" applyFill="1" applyBorder="1" applyAlignment="1" applyProtection="1">
      <alignment horizontal="center" vertical="center"/>
      <protection locked="0"/>
    </xf>
    <xf numFmtId="14" fontId="38" fillId="17" borderId="4" xfId="9" applyNumberFormat="1" applyFont="1" applyFill="1" applyBorder="1" applyAlignment="1" applyProtection="1">
      <alignment horizontal="center" vertical="center"/>
      <protection locked="0"/>
    </xf>
    <xf numFmtId="0" fontId="159" fillId="24" borderId="100" xfId="2" applyFill="1" applyBorder="1" applyAlignment="1" applyProtection="1">
      <alignment horizontal="center" vertical="center"/>
      <protection locked="0"/>
    </xf>
    <xf numFmtId="0" fontId="54" fillId="24" borderId="16" xfId="4" applyFont="1" applyFill="1" applyBorder="1" applyAlignment="1" applyProtection="1">
      <alignment horizontal="center" vertical="center"/>
      <protection locked="0"/>
    </xf>
    <xf numFmtId="0" fontId="54" fillId="24" borderId="4" xfId="4" applyFont="1" applyFill="1" applyBorder="1" applyAlignment="1" applyProtection="1">
      <alignment horizontal="center" vertical="center"/>
      <protection locked="0"/>
    </xf>
    <xf numFmtId="1" fontId="176" fillId="24" borderId="100" xfId="4" applyNumberFormat="1" applyFont="1" applyFill="1" applyBorder="1" applyAlignment="1" applyProtection="1">
      <alignment horizontal="center" vertical="center"/>
      <protection locked="0"/>
    </xf>
    <xf numFmtId="1" fontId="176" fillId="24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0" fontId="191" fillId="26" borderId="16" xfId="12" quotePrefix="1" applyFont="1" applyFill="1" applyBorder="1" applyAlignment="1">
      <alignment horizontal="left" vertical="center" wrapText="1"/>
    </xf>
    <xf numFmtId="0" fontId="285" fillId="26" borderId="16" xfId="4" applyFont="1" applyFill="1" applyBorder="1" applyAlignment="1">
      <alignment horizontal="left" vertical="center" wrapText="1"/>
    </xf>
    <xf numFmtId="3" fontId="204" fillId="17" borderId="100" xfId="4" applyNumberFormat="1" applyFont="1" applyFill="1" applyBorder="1" applyAlignment="1" applyProtection="1">
      <alignment horizontal="center" vertical="center"/>
      <protection locked="0"/>
    </xf>
    <xf numFmtId="3" fontId="204" fillId="17" borderId="16" xfId="4" applyNumberFormat="1" applyFont="1" applyFill="1" applyBorder="1" applyAlignment="1" applyProtection="1">
      <alignment horizontal="center" vertical="center"/>
      <protection locked="0"/>
    </xf>
    <xf numFmtId="3" fontId="204" fillId="17" borderId="4" xfId="4" applyNumberFormat="1" applyFont="1" applyFill="1" applyBorder="1" applyAlignment="1" applyProtection="1">
      <alignment horizontal="center" vertical="center"/>
      <protection locked="0"/>
    </xf>
    <xf numFmtId="3" fontId="286" fillId="17" borderId="100" xfId="4" applyNumberFormat="1" applyFont="1" applyFill="1" applyBorder="1" applyAlignment="1" applyProtection="1">
      <alignment horizontal="center" vertical="center"/>
      <protection locked="0"/>
    </xf>
    <xf numFmtId="3" fontId="286" fillId="17" borderId="16" xfId="4" applyNumberFormat="1" applyFont="1" applyFill="1" applyBorder="1" applyAlignment="1" applyProtection="1">
      <alignment horizontal="center" vertical="center"/>
      <protection locked="0"/>
    </xf>
    <xf numFmtId="3" fontId="286" fillId="17" borderId="4" xfId="4" applyNumberFormat="1" applyFont="1" applyFill="1" applyBorder="1" applyAlignment="1" applyProtection="1">
      <alignment horizontal="center" vertical="center"/>
      <protection locked="0"/>
    </xf>
    <xf numFmtId="0" fontId="199" fillId="30" borderId="16" xfId="12" quotePrefix="1" applyFont="1" applyFill="1" applyBorder="1" applyAlignment="1">
      <alignment horizontal="left" vertical="center" wrapText="1"/>
    </xf>
    <xf numFmtId="0" fontId="287" fillId="30" borderId="16" xfId="4" applyFont="1" applyFill="1" applyBorder="1" applyAlignment="1">
      <alignment horizontal="left" vertical="center" wrapText="1"/>
    </xf>
    <xf numFmtId="0" fontId="199" fillId="30" borderId="16" xfId="4" applyFont="1" applyFill="1" applyBorder="1" applyAlignment="1">
      <alignment horizontal="left" vertical="center"/>
    </xf>
    <xf numFmtId="0" fontId="199" fillId="30" borderId="16" xfId="4" applyFont="1" applyFill="1" applyBorder="1" applyAlignment="1">
      <alignment horizontal="left" vertical="center" wrapText="1"/>
    </xf>
    <xf numFmtId="0" fontId="199" fillId="30" borderId="88" xfId="4" applyFont="1" applyFill="1" applyBorder="1" applyAlignment="1">
      <alignment horizontal="left" vertical="center" wrapText="1"/>
    </xf>
    <xf numFmtId="0" fontId="199" fillId="30" borderId="16" xfId="12" applyFont="1" applyFill="1" applyBorder="1" applyAlignment="1">
      <alignment horizontal="left" vertical="center"/>
    </xf>
    <xf numFmtId="0" fontId="288" fillId="30" borderId="16" xfId="4" applyFont="1" applyFill="1" applyBorder="1" applyAlignment="1">
      <alignment horizontal="left" vertical="center" wrapText="1"/>
    </xf>
    <xf numFmtId="0" fontId="199" fillId="30" borderId="16" xfId="4" applyFont="1" applyFill="1" applyBorder="1" applyAlignment="1">
      <alignment vertical="center" wrapText="1"/>
    </xf>
    <xf numFmtId="0" fontId="288" fillId="30" borderId="16" xfId="4" applyFont="1" applyFill="1" applyBorder="1" applyAlignment="1">
      <alignment vertical="center" wrapText="1"/>
    </xf>
    <xf numFmtId="0" fontId="199" fillId="30" borderId="16" xfId="12" quotePrefix="1" applyFont="1" applyFill="1" applyBorder="1" applyAlignment="1">
      <alignment horizontal="left" vertical="center"/>
    </xf>
    <xf numFmtId="0" fontId="216" fillId="17" borderId="100" xfId="4" applyFont="1" applyFill="1" applyBorder="1" applyAlignment="1" applyProtection="1">
      <alignment vertical="center" wrapText="1"/>
    </xf>
    <xf numFmtId="0" fontId="216" fillId="17" borderId="16" xfId="4" applyFont="1" applyFill="1" applyBorder="1" applyAlignment="1" applyProtection="1">
      <alignment vertical="center" wrapText="1"/>
    </xf>
    <xf numFmtId="0" fontId="216" fillId="17" borderId="4" xfId="4" applyFont="1" applyFill="1" applyBorder="1" applyAlignment="1" applyProtection="1">
      <alignment vertical="center" wrapText="1"/>
    </xf>
    <xf numFmtId="0" fontId="3" fillId="0" borderId="0" xfId="4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vertical="center" wrapText="1"/>
    </xf>
    <xf numFmtId="0" fontId="3" fillId="15" borderId="0" xfId="4" applyFont="1" applyFill="1" applyAlignment="1" applyProtection="1">
      <alignment horizontal="left" vertical="center" wrapText="1"/>
    </xf>
    <xf numFmtId="0" fontId="5" fillId="15" borderId="0" xfId="4" applyFont="1" applyFill="1" applyAlignment="1" applyProtection="1">
      <alignment vertical="center" wrapText="1"/>
    </xf>
    <xf numFmtId="0" fontId="173" fillId="24" borderId="100" xfId="4" applyFont="1" applyFill="1" applyBorder="1" applyAlignment="1" applyProtection="1">
      <alignment horizontal="center" vertical="center" wrapText="1"/>
    </xf>
    <xf numFmtId="0" fontId="173" fillId="24" borderId="16" xfId="4" applyFont="1" applyFill="1" applyBorder="1" applyAlignment="1" applyProtection="1">
      <alignment horizontal="center" vertical="center" wrapText="1"/>
    </xf>
    <xf numFmtId="0" fontId="173" fillId="24" borderId="4" xfId="4" applyFont="1" applyFill="1" applyBorder="1" applyAlignment="1" applyProtection="1">
      <alignment horizontal="center" vertical="center" wrapText="1"/>
    </xf>
    <xf numFmtId="0" fontId="199" fillId="30" borderId="12" xfId="12" applyFont="1" applyFill="1" applyBorder="1" applyAlignment="1">
      <alignment vertical="center" wrapText="1"/>
    </xf>
    <xf numFmtId="0" fontId="199" fillId="30" borderId="88" xfId="12" applyFont="1" applyFill="1" applyBorder="1" applyAlignment="1">
      <alignment horizontal="left" vertical="center"/>
    </xf>
    <xf numFmtId="0" fontId="199" fillId="30" borderId="16" xfId="12" applyFont="1" applyFill="1" applyBorder="1" applyAlignment="1">
      <alignment horizontal="left" vertical="center" wrapText="1"/>
    </xf>
    <xf numFmtId="0" fontId="199" fillId="30" borderId="16" xfId="12" applyFont="1" applyFill="1" applyBorder="1" applyAlignment="1">
      <alignment vertical="center" wrapText="1"/>
    </xf>
    <xf numFmtId="0" fontId="287" fillId="30" borderId="16" xfId="4" applyFont="1" applyFill="1" applyBorder="1" applyAlignment="1">
      <alignment vertical="center" wrapText="1"/>
    </xf>
    <xf numFmtId="0" fontId="6" fillId="7" borderId="0" xfId="4" applyFont="1" applyFill="1" applyBorder="1" applyAlignment="1">
      <alignment vertical="center" wrapText="1"/>
    </xf>
    <xf numFmtId="0" fontId="5" fillId="7" borderId="0" xfId="4" applyFont="1" applyFill="1" applyBorder="1" applyAlignment="1">
      <alignment vertical="center" wrapText="1"/>
    </xf>
    <xf numFmtId="165" fontId="3" fillId="7" borderId="0" xfId="4" applyNumberFormat="1" applyFont="1" applyFill="1" applyBorder="1" applyAlignment="1">
      <alignment horizontal="left" wrapText="1"/>
    </xf>
    <xf numFmtId="0" fontId="191" fillId="26" borderId="16" xfId="12" quotePrefix="1" applyFont="1" applyFill="1" applyBorder="1" applyAlignment="1" applyProtection="1">
      <alignment horizontal="left" vertical="center" wrapText="1"/>
    </xf>
    <xf numFmtId="0" fontId="285" fillId="26" borderId="16" xfId="4" applyFont="1" applyFill="1" applyBorder="1" applyAlignment="1" applyProtection="1">
      <alignment horizontal="left" vertical="center" wrapText="1"/>
    </xf>
    <xf numFmtId="0" fontId="3" fillId="0" borderId="0" xfId="4" applyFont="1" applyFill="1" applyAlignment="1" applyProtection="1">
      <alignment horizontal="left" vertical="center" wrapText="1"/>
    </xf>
    <xf numFmtId="0" fontId="179" fillId="24" borderId="16" xfId="4" applyFont="1" applyFill="1" applyBorder="1" applyAlignment="1" applyProtection="1">
      <alignment wrapText="1"/>
    </xf>
    <xf numFmtId="0" fontId="179" fillId="24" borderId="88" xfId="4" applyFont="1" applyFill="1" applyBorder="1" applyAlignment="1" applyProtection="1">
      <alignment wrapText="1"/>
    </xf>
    <xf numFmtId="0" fontId="179" fillId="17" borderId="100" xfId="4" applyFont="1" applyFill="1" applyBorder="1" applyAlignment="1" applyProtection="1">
      <alignment horizontal="left" vertical="center"/>
    </xf>
    <xf numFmtId="0" fontId="179" fillId="17" borderId="88" xfId="4" applyFont="1" applyFill="1" applyBorder="1" applyAlignment="1" applyProtection="1">
      <alignment horizontal="left" vertical="center"/>
    </xf>
    <xf numFmtId="0" fontId="3" fillId="7" borderId="0" xfId="4" applyFont="1" applyFill="1" applyBorder="1" applyAlignment="1">
      <alignment horizontal="left" vertical="center" wrapText="1"/>
    </xf>
    <xf numFmtId="0" fontId="179" fillId="24" borderId="16" xfId="4" applyFont="1" applyFill="1" applyBorder="1" applyAlignment="1" applyProtection="1">
      <alignment horizontal="left"/>
    </xf>
    <xf numFmtId="0" fontId="179" fillId="24" borderId="88" xfId="4" applyFont="1" applyFill="1" applyBorder="1" applyAlignment="1" applyProtection="1">
      <alignment horizontal="left"/>
    </xf>
    <xf numFmtId="0" fontId="179" fillId="24" borderId="16" xfId="4" applyFont="1" applyFill="1" applyBorder="1" applyAlignment="1" applyProtection="1">
      <alignment horizontal="left" vertical="center"/>
    </xf>
    <xf numFmtId="0" fontId="179" fillId="24" borderId="88" xfId="4" applyFont="1" applyFill="1" applyBorder="1" applyAlignment="1" applyProtection="1">
      <alignment horizontal="left" vertical="center"/>
    </xf>
    <xf numFmtId="0" fontId="179" fillId="24" borderId="16" xfId="4" applyFont="1" applyFill="1" applyBorder="1" applyAlignment="1" applyProtection="1">
      <alignment vertical="center" wrapText="1"/>
    </xf>
    <xf numFmtId="0" fontId="179" fillId="24" borderId="88" xfId="4" applyFont="1" applyFill="1" applyBorder="1" applyAlignment="1" applyProtection="1">
      <alignment vertical="center" wrapText="1"/>
    </xf>
    <xf numFmtId="0" fontId="179" fillId="24" borderId="16" xfId="12" quotePrefix="1" applyFont="1" applyFill="1" applyBorder="1" applyAlignment="1" applyProtection="1">
      <alignment horizontal="left" vertical="center" wrapText="1"/>
    </xf>
    <xf numFmtId="0" fontId="179" fillId="24" borderId="88" xfId="12" quotePrefix="1" applyFont="1" applyFill="1" applyBorder="1" applyAlignment="1" applyProtection="1">
      <alignment horizontal="left" vertical="center" wrapText="1"/>
    </xf>
    <xf numFmtId="0" fontId="179" fillId="24" borderId="16" xfId="12" applyFont="1" applyFill="1" applyBorder="1" applyAlignment="1" applyProtection="1">
      <alignment horizontal="left" vertical="center"/>
    </xf>
    <xf numFmtId="0" fontId="179" fillId="24" borderId="88" xfId="12" applyFont="1" applyFill="1" applyBorder="1" applyAlignment="1" applyProtection="1">
      <alignment horizontal="left" vertical="center"/>
    </xf>
    <xf numFmtId="0" fontId="179" fillId="24" borderId="16" xfId="12" quotePrefix="1" applyFont="1" applyFill="1" applyBorder="1" applyAlignment="1" applyProtection="1">
      <alignment horizontal="left" vertical="center"/>
    </xf>
    <xf numFmtId="0" fontId="179" fillId="24" borderId="88" xfId="12" quotePrefix="1" applyFont="1" applyFill="1" applyBorder="1" applyAlignment="1" applyProtection="1">
      <alignment horizontal="left" vertical="center"/>
    </xf>
    <xf numFmtId="0" fontId="179" fillId="24" borderId="16" xfId="12" applyFont="1" applyFill="1" applyBorder="1" applyAlignment="1" applyProtection="1">
      <alignment vertical="center" wrapText="1"/>
    </xf>
    <xf numFmtId="0" fontId="179" fillId="24" borderId="88" xfId="12" applyFont="1" applyFill="1" applyBorder="1" applyAlignment="1" applyProtection="1">
      <alignment vertical="center" wrapText="1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58" fillId="8" borderId="16" xfId="12" quotePrefix="1" applyFont="1" applyFill="1" applyBorder="1" applyAlignment="1" applyProtection="1">
      <alignment horizontal="left" vertical="center"/>
    </xf>
    <xf numFmtId="0" fontId="58" fillId="8" borderId="88" xfId="1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3" fillId="24" borderId="100" xfId="4" applyFont="1" applyFill="1" applyBorder="1" applyAlignment="1" applyProtection="1">
      <alignment horizontal="center" vertical="center" wrapText="1"/>
      <protection locked="0"/>
    </xf>
    <xf numFmtId="0" fontId="173" fillId="24" borderId="16" xfId="4" applyFont="1" applyFill="1" applyBorder="1" applyAlignment="1" applyProtection="1">
      <alignment horizontal="center" vertical="center" wrapText="1"/>
      <protection locked="0"/>
    </xf>
    <xf numFmtId="0" fontId="173" fillId="24" borderId="4" xfId="4" applyFont="1" applyFill="1" applyBorder="1" applyAlignment="1" applyProtection="1">
      <alignment horizontal="center" vertical="center" wrapText="1"/>
      <protection locked="0"/>
    </xf>
    <xf numFmtId="0" fontId="52" fillId="52" borderId="5" xfId="4" applyFont="1" applyFill="1" applyBorder="1" applyAlignment="1" applyProtection="1">
      <alignment horizontal="center" vertical="center"/>
    </xf>
    <xf numFmtId="0" fontId="52" fillId="52" borderId="6" xfId="4" applyFont="1" applyFill="1" applyBorder="1" applyAlignment="1" applyProtection="1">
      <alignment horizontal="center" vertical="center"/>
    </xf>
    <xf numFmtId="0" fontId="52" fillId="52" borderId="7" xfId="4" applyFont="1" applyFill="1" applyBorder="1" applyAlignment="1" applyProtection="1">
      <alignment horizontal="center" vertical="center"/>
    </xf>
    <xf numFmtId="0" fontId="11" fillId="52" borderId="5" xfId="4" applyFont="1" applyFill="1" applyBorder="1" applyAlignment="1" applyProtection="1">
      <alignment horizontal="center" vertical="center"/>
    </xf>
    <xf numFmtId="0" fontId="11" fillId="52" borderId="6" xfId="4" applyFont="1" applyFill="1" applyBorder="1" applyAlignment="1" applyProtection="1">
      <alignment horizontal="center" vertical="center"/>
    </xf>
    <xf numFmtId="0" fontId="11" fillId="52" borderId="7" xfId="4" applyFont="1" applyFill="1" applyBorder="1" applyAlignment="1" applyProtection="1">
      <alignment horizontal="center" vertical="center"/>
    </xf>
    <xf numFmtId="0" fontId="236" fillId="19" borderId="5" xfId="4" applyFont="1" applyFill="1" applyBorder="1" applyAlignment="1" applyProtection="1">
      <alignment horizontal="center" vertical="center"/>
    </xf>
    <xf numFmtId="0" fontId="236" fillId="19" borderId="6" xfId="4" applyFont="1" applyFill="1" applyBorder="1" applyAlignment="1" applyProtection="1">
      <alignment horizontal="center" vertical="center"/>
    </xf>
    <xf numFmtId="0" fontId="236" fillId="19" borderId="7" xfId="4" applyFont="1" applyFill="1" applyBorder="1" applyAlignment="1" applyProtection="1">
      <alignment horizontal="center" vertical="center"/>
    </xf>
    <xf numFmtId="0" fontId="177" fillId="23" borderId="5" xfId="0" applyFont="1" applyFill="1" applyBorder="1" applyAlignment="1" applyProtection="1">
      <alignment horizontal="center" vertical="center"/>
    </xf>
    <xf numFmtId="0" fontId="177" fillId="23" borderId="6" xfId="0" applyFont="1" applyFill="1" applyBorder="1" applyAlignment="1" applyProtection="1">
      <alignment horizontal="center" vertical="center"/>
    </xf>
    <xf numFmtId="0" fontId="177" fillId="23" borderId="7" xfId="0" applyFont="1" applyFill="1" applyBorder="1" applyAlignment="1" applyProtection="1">
      <alignment horizontal="center" vertical="center"/>
    </xf>
    <xf numFmtId="0" fontId="61" fillId="52" borderId="5" xfId="4" applyFont="1" applyFill="1" applyBorder="1" applyAlignment="1" applyProtection="1">
      <alignment horizontal="center" vertical="center"/>
    </xf>
    <xf numFmtId="0" fontId="61" fillId="52" borderId="6" xfId="4" applyFont="1" applyFill="1" applyBorder="1" applyAlignment="1" applyProtection="1">
      <alignment horizontal="center" vertical="center"/>
    </xf>
    <xf numFmtId="0" fontId="61" fillId="52" borderId="7" xfId="4" applyFont="1" applyFill="1" applyBorder="1" applyAlignment="1" applyProtection="1">
      <alignment horizontal="center" vertical="center"/>
    </xf>
    <xf numFmtId="0" fontId="224" fillId="25" borderId="5" xfId="0" applyFont="1" applyFill="1" applyBorder="1" applyAlignment="1" applyProtection="1">
      <alignment horizontal="center" vertical="center"/>
    </xf>
    <xf numFmtId="0" fontId="224" fillId="25" borderId="6" xfId="0" applyFont="1" applyFill="1" applyBorder="1" applyAlignment="1" applyProtection="1">
      <alignment horizontal="center" vertical="center"/>
    </xf>
    <xf numFmtId="0" fontId="224" fillId="25" borderId="7" xfId="0" applyFont="1" applyFill="1" applyBorder="1" applyAlignment="1" applyProtection="1">
      <alignment horizontal="center" vertical="center"/>
    </xf>
    <xf numFmtId="0" fontId="55" fillId="28" borderId="5" xfId="0" applyFont="1" applyFill="1" applyBorder="1" applyAlignment="1" applyProtection="1">
      <alignment horizontal="center" vertical="center"/>
    </xf>
    <xf numFmtId="0" fontId="55" fillId="28" borderId="6" xfId="0" applyFont="1" applyFill="1" applyBorder="1" applyAlignment="1" applyProtection="1">
      <alignment horizontal="center" vertical="center"/>
    </xf>
    <xf numFmtId="0" fontId="55" fillId="28" borderId="7" xfId="0" applyFont="1" applyFill="1" applyBorder="1" applyAlignment="1" applyProtection="1">
      <alignment horizontal="center" vertical="center"/>
    </xf>
    <xf numFmtId="0" fontId="289" fillId="29" borderId="5" xfId="4" applyFont="1" applyFill="1" applyBorder="1" applyAlignment="1" applyProtection="1">
      <alignment horizontal="center" vertical="center"/>
    </xf>
    <xf numFmtId="0" fontId="289" fillId="29" borderId="6" xfId="4" applyFont="1" applyFill="1" applyBorder="1" applyAlignment="1" applyProtection="1">
      <alignment horizontal="center" vertical="center"/>
    </xf>
    <xf numFmtId="0" fontId="289" fillId="29" borderId="7" xfId="4" applyFont="1" applyFill="1" applyBorder="1" applyAlignment="1" applyProtection="1">
      <alignment horizontal="center" vertical="center"/>
    </xf>
    <xf numFmtId="0" fontId="216" fillId="17" borderId="100" xfId="4" applyFont="1" applyFill="1" applyBorder="1" applyAlignment="1" applyProtection="1">
      <alignment horizontal="center" vertical="center" wrapText="1"/>
    </xf>
    <xf numFmtId="0" fontId="216" fillId="17" borderId="16" xfId="4" applyFont="1" applyFill="1" applyBorder="1" applyAlignment="1" applyProtection="1">
      <alignment horizontal="center" vertical="center" wrapText="1"/>
    </xf>
    <xf numFmtId="0" fontId="216" fillId="17" borderId="4" xfId="4" applyFont="1" applyFill="1" applyBorder="1" applyAlignment="1" applyProtection="1">
      <alignment horizontal="center" vertical="center" wrapText="1"/>
    </xf>
    <xf numFmtId="0" fontId="278" fillId="17" borderId="7" xfId="0" applyFont="1" applyFill="1" applyBorder="1" applyAlignment="1" applyProtection="1">
      <alignment horizontal="center" vertical="center" wrapText="1"/>
    </xf>
    <xf numFmtId="0" fontId="278" fillId="17" borderId="143" xfId="0" applyFont="1" applyFill="1" applyBorder="1" applyAlignment="1" applyProtection="1">
      <alignment horizontal="center" vertical="center" wrapText="1"/>
    </xf>
    <xf numFmtId="0" fontId="278" fillId="17" borderId="154" xfId="0" applyFont="1" applyFill="1" applyBorder="1" applyAlignment="1" applyProtection="1">
      <alignment horizontal="center" vertical="center" wrapText="1"/>
    </xf>
    <xf numFmtId="0" fontId="278" fillId="17" borderId="159" xfId="0" applyFont="1" applyFill="1" applyBorder="1" applyAlignment="1" applyProtection="1">
      <alignment horizontal="center" vertical="center" wrapText="1"/>
    </xf>
    <xf numFmtId="0" fontId="278" fillId="17" borderId="89" xfId="0" applyFont="1" applyFill="1" applyBorder="1" applyAlignment="1" applyProtection="1">
      <alignment horizontal="center" vertical="center" wrapText="1"/>
    </xf>
    <xf numFmtId="0" fontId="278" fillId="17" borderId="121" xfId="0" applyFont="1" applyFill="1" applyBorder="1" applyAlignment="1" applyProtection="1">
      <alignment horizontal="center" vertical="center" wrapText="1"/>
    </xf>
    <xf numFmtId="0" fontId="139" fillId="0" borderId="0" xfId="0" quotePrefix="1" applyFont="1" applyFill="1" applyBorder="1" applyAlignment="1" applyProtection="1">
      <alignment horizontal="center" vertical="center"/>
    </xf>
    <xf numFmtId="0" fontId="139" fillId="0" borderId="117" xfId="0" applyFont="1" applyFill="1" applyBorder="1" applyAlignment="1" applyProtection="1">
      <alignment horizontal="center" vertical="center" wrapText="1"/>
    </xf>
    <xf numFmtId="0" fontId="139" fillId="0" borderId="73" xfId="0" applyFont="1" applyFill="1" applyBorder="1" applyAlignment="1" applyProtection="1">
      <alignment horizontal="center" vertical="center" wrapText="1"/>
    </xf>
    <xf numFmtId="0" fontId="139" fillId="0" borderId="123" xfId="0" applyFont="1" applyFill="1" applyBorder="1" applyAlignment="1" applyProtection="1">
      <alignment horizontal="center" vertical="center" wrapText="1"/>
    </xf>
    <xf numFmtId="0" fontId="140" fillId="0" borderId="117" xfId="0" applyFont="1" applyFill="1" applyBorder="1" applyAlignment="1" applyProtection="1">
      <alignment horizontal="center" vertical="center" wrapText="1"/>
    </xf>
    <xf numFmtId="0" fontId="140" fillId="0" borderId="73" xfId="0" applyFont="1" applyFill="1" applyBorder="1" applyAlignment="1" applyProtection="1">
      <alignment horizontal="center" vertical="center" wrapText="1"/>
    </xf>
    <xf numFmtId="0" fontId="140" fillId="0" borderId="123" xfId="0" applyFont="1" applyFill="1" applyBorder="1" applyAlignment="1" applyProtection="1">
      <alignment horizontal="center" vertical="center" wrapText="1"/>
    </xf>
    <xf numFmtId="0" fontId="139" fillId="47" borderId="124" xfId="0" applyFont="1" applyFill="1" applyBorder="1" applyAlignment="1" applyProtection="1">
      <alignment horizontal="center" vertical="center" wrapText="1"/>
    </xf>
    <xf numFmtId="0" fontId="139" fillId="47" borderId="126" xfId="0" applyFont="1" applyFill="1" applyBorder="1" applyAlignment="1" applyProtection="1">
      <alignment horizontal="center" vertical="center" wrapText="1"/>
    </xf>
    <xf numFmtId="0" fontId="139" fillId="47" borderId="191" xfId="0" applyFont="1" applyFill="1" applyBorder="1" applyAlignment="1" applyProtection="1">
      <alignment horizontal="center" vertical="center" wrapText="1"/>
    </xf>
    <xf numFmtId="0" fontId="34" fillId="0" borderId="117" xfId="0" applyFont="1" applyFill="1" applyBorder="1" applyAlignment="1" applyProtection="1">
      <alignment horizontal="center" vertical="center" wrapText="1"/>
    </xf>
    <xf numFmtId="0" fontId="34" fillId="0" borderId="123" xfId="0" applyFont="1" applyFill="1" applyBorder="1" applyAlignment="1" applyProtection="1">
      <alignment horizontal="center" vertical="center" wrapText="1"/>
    </xf>
    <xf numFmtId="0" fontId="150" fillId="0" borderId="0" xfId="0" applyFont="1" applyFill="1" applyBorder="1" applyAlignment="1">
      <alignment horizontal="left" vertical="center" wrapText="1"/>
    </xf>
  </cellXfs>
  <cellStyles count="18">
    <cellStyle name="Hyperlink 2" xfId="3"/>
    <cellStyle name="Normal 2" xfId="4"/>
    <cellStyle name="Normal 3" xfId="5"/>
    <cellStyle name="Normal 3 2" xfId="6"/>
    <cellStyle name="Normal 4" xfId="7"/>
    <cellStyle name="Normal_B3_2013" xfId="8"/>
    <cellStyle name="Normal_BIN 7301,7311 and 6301" xfId="9"/>
    <cellStyle name="Normal_COA-2001-ZAPOVED-No-81-29012002-ANNEX" xfId="10"/>
    <cellStyle name="Normal_DOMV" xfId="11"/>
    <cellStyle name="Normal_EBK_PROJECT_2001-last" xfId="12"/>
    <cellStyle name="Normal_EBK-2002-draft" xfId="13"/>
    <cellStyle name="Normal_MAKET" xfId="14"/>
    <cellStyle name="Normal_Sheet2" xfId="15"/>
    <cellStyle name="Normal_TRIAL-BALANCE-2001-MAKET" xfId="16"/>
    <cellStyle name="Normal_ZADACHA" xfId="17"/>
    <cellStyle name="Запетая" xfId="1" builtinId="3"/>
    <cellStyle name="Нормален" xfId="0" builtinId="0"/>
    <cellStyle name="Хипервръзка" xfId="2" builtinId="8"/>
  </cellStyles>
  <dxfs count="17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5" formatCode="0000&quot; &quot;0000"/>
    </dxf>
    <dxf>
      <numFmt numFmtId="186" formatCode="0000&quot; &quot;0000&quot; &quot;0000"/>
    </dxf>
    <dxf>
      <numFmt numFmtId="187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5" formatCode="0000&quot; &quot;0000"/>
    </dxf>
    <dxf>
      <numFmt numFmtId="186" formatCode="0000&quot; &quot;0000&quot; &quot;0000"/>
    </dxf>
    <dxf>
      <numFmt numFmtId="187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5" formatCode="0000&quot; &quot;0000"/>
    </dxf>
    <dxf>
      <numFmt numFmtId="186" formatCode="0000&quot; &quot;0000&quot; &quot;0000"/>
    </dxf>
    <dxf>
      <numFmt numFmtId="187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790575</xdr:colOff>
          <xdr:row>2</xdr:row>
          <xdr:rowOff>28575</xdr:rowOff>
        </xdr:from>
        <xdr:to>
          <xdr:col>6</xdr:col>
          <xdr:colOff>600075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28575</xdr:rowOff>
        </xdr:from>
        <xdr:to>
          <xdr:col>3</xdr:col>
          <xdr:colOff>3457575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S6" sqref="S6:U6"/>
    </sheetView>
  </sheetViews>
  <sheetFormatPr defaultRowHeight="15"/>
  <cols>
    <col min="1" max="1" width="3.7109375" style="1346" customWidth="1"/>
    <col min="2" max="2" width="20.140625" style="1346" customWidth="1"/>
    <col min="3" max="3" width="22.42578125" style="1346" customWidth="1"/>
    <col min="4" max="4" width="34.5703125" style="1346" customWidth="1"/>
    <col min="5" max="5" width="0.7109375" style="1346" customWidth="1"/>
    <col min="6" max="7" width="17.140625" style="1346" customWidth="1"/>
    <col min="8" max="8" width="0.7109375" style="1346" customWidth="1"/>
    <col min="9" max="9" width="16.7109375" style="1346" customWidth="1"/>
    <col min="10" max="10" width="17.140625" style="1346" customWidth="1"/>
    <col min="11" max="11" width="0.7109375" style="1346" customWidth="1"/>
    <col min="12" max="12" width="17.140625" style="1346" customWidth="1"/>
    <col min="13" max="13" width="0.7109375" style="1346" customWidth="1"/>
    <col min="14" max="14" width="17.140625" style="1346" customWidth="1"/>
    <col min="15" max="15" width="3.5703125" style="1346" customWidth="1"/>
    <col min="16" max="17" width="20" style="1347" customWidth="1"/>
    <col min="18" max="18" width="1.140625" style="1347" customWidth="1"/>
    <col min="19" max="19" width="59.5703125" style="1346" customWidth="1"/>
    <col min="20" max="21" width="12.28515625" style="1346" customWidth="1"/>
    <col min="22" max="22" width="1.140625" style="1346" customWidth="1"/>
    <col min="23" max="24" width="12.28515625" style="1346" customWidth="1"/>
    <col min="25" max="26" width="9.140625" style="1346"/>
    <col min="27" max="27" width="10.42578125" style="1346" customWidth="1"/>
    <col min="28" max="16384" width="9.140625" style="1346"/>
  </cols>
  <sheetData>
    <row r="1" spans="1:27" s="1006" customFormat="1" ht="15.75" customHeight="1">
      <c r="A1" s="994"/>
      <c r="B1" s="995" t="s">
        <v>971</v>
      </c>
      <c r="C1" s="995"/>
      <c r="D1" s="995"/>
      <c r="E1" s="996"/>
      <c r="F1" s="997" t="s">
        <v>954</v>
      </c>
      <c r="G1" s="998" t="s">
        <v>972</v>
      </c>
      <c r="H1" s="996"/>
      <c r="I1" s="999" t="s">
        <v>973</v>
      </c>
      <c r="J1" s="999"/>
      <c r="K1" s="996"/>
      <c r="L1" s="1000" t="s">
        <v>974</v>
      </c>
      <c r="M1" s="996"/>
      <c r="N1" s="1001"/>
      <c r="O1" s="996"/>
      <c r="P1" s="1002" t="s">
        <v>975</v>
      </c>
      <c r="Q1" s="1003"/>
      <c r="R1" s="1004"/>
      <c r="S1" s="994"/>
      <c r="T1" s="994"/>
      <c r="U1" s="994"/>
      <c r="V1" s="994"/>
      <c r="W1" s="1005"/>
      <c r="X1" s="1005"/>
      <c r="Y1" s="1005"/>
      <c r="Z1" s="1005"/>
      <c r="AA1" s="1005"/>
    </row>
    <row r="2" spans="1:27" s="1015" customFormat="1" ht="20.25" customHeight="1">
      <c r="A2" s="994"/>
      <c r="B2" s="1896" t="str">
        <f>+OTCHET!B9</f>
        <v>ДЕТСКА ГРАДИНА „СЛЪНЦЕ”</v>
      </c>
      <c r="C2" s="1897"/>
      <c r="D2" s="1898"/>
      <c r="E2" s="1007"/>
      <c r="F2" s="1008">
        <f>+OTCHET!H9</f>
        <v>310531</v>
      </c>
      <c r="G2" s="1009" t="str">
        <f>+OTCHET!F12</f>
        <v>1201341</v>
      </c>
      <c r="H2" s="1010"/>
      <c r="I2" s="1899">
        <f>+OTCHET!H610</f>
        <v>0</v>
      </c>
      <c r="J2" s="1900"/>
      <c r="K2" s="1001"/>
      <c r="L2" s="1901">
        <f>OTCHET!H608</f>
        <v>0</v>
      </c>
      <c r="M2" s="1902"/>
      <c r="N2" s="1903"/>
      <c r="O2" s="1011"/>
      <c r="P2" s="1012">
        <f>OTCHET!E15</f>
        <v>0</v>
      </c>
      <c r="Q2" s="1013" t="str">
        <f>OTCHET!F15</f>
        <v>БЮДЖЕТ</v>
      </c>
      <c r="R2" s="1014"/>
      <c r="S2" s="994" t="s">
        <v>976</v>
      </c>
      <c r="T2" s="1904">
        <f>+OTCHET!I9</f>
        <v>0</v>
      </c>
      <c r="U2" s="1905"/>
      <c r="V2" s="1011"/>
      <c r="W2" s="1005"/>
      <c r="X2" s="1005"/>
      <c r="Y2" s="1005"/>
      <c r="Z2" s="1005"/>
      <c r="AA2" s="1005"/>
    </row>
    <row r="3" spans="1:27" s="1015" customFormat="1" ht="4.5" customHeight="1">
      <c r="A3" s="994"/>
      <c r="B3" s="1016"/>
      <c r="C3" s="1016"/>
      <c r="D3" s="1016"/>
      <c r="E3" s="1007"/>
      <c r="F3" s="1017"/>
      <c r="G3" s="1011"/>
      <c r="H3" s="1010"/>
      <c r="I3" s="1011"/>
      <c r="J3" s="1011"/>
      <c r="K3" s="1010"/>
      <c r="L3" s="1001"/>
      <c r="M3" s="996"/>
      <c r="N3" s="1001"/>
      <c r="O3" s="1011"/>
      <c r="P3" s="1018"/>
      <c r="Q3" s="1014"/>
      <c r="R3" s="1014"/>
      <c r="S3" s="994"/>
      <c r="T3" s="994"/>
      <c r="U3" s="994"/>
      <c r="V3" s="1011"/>
      <c r="W3" s="1005"/>
      <c r="X3" s="1005"/>
      <c r="Y3" s="1005"/>
      <c r="Z3" s="1005"/>
      <c r="AA3" s="1005"/>
    </row>
    <row r="4" spans="1:27" s="1015" customFormat="1" ht="18.75" customHeight="1">
      <c r="A4" s="994"/>
      <c r="B4" s="1019" t="s">
        <v>977</v>
      </c>
      <c r="C4" s="1019"/>
      <c r="D4" s="1019"/>
      <c r="E4" s="1020"/>
      <c r="F4" s="1019"/>
      <c r="G4" s="1021"/>
      <c r="H4" s="1021"/>
      <c r="I4" s="1021"/>
      <c r="J4" s="1021" t="s">
        <v>978</v>
      </c>
      <c r="K4" s="1010"/>
      <c r="L4" s="1022">
        <f>+Q4</f>
        <v>2025</v>
      </c>
      <c r="M4" s="1023"/>
      <c r="N4" s="1023"/>
      <c r="O4" s="1011"/>
      <c r="P4" s="1024" t="s">
        <v>978</v>
      </c>
      <c r="Q4" s="1022">
        <f>+OTCHET!C3</f>
        <v>2025</v>
      </c>
      <c r="R4" s="1014"/>
      <c r="S4" s="1906" t="s">
        <v>979</v>
      </c>
      <c r="T4" s="1906"/>
      <c r="U4" s="1906"/>
      <c r="V4" s="994"/>
      <c r="W4" s="1005"/>
      <c r="X4" s="1005"/>
      <c r="Y4" s="1005"/>
      <c r="Z4" s="1005"/>
      <c r="AA4" s="1005"/>
    </row>
    <row r="5" spans="1:27" s="1015" customFormat="1" ht="2.25" customHeight="1">
      <c r="A5" s="1010"/>
      <c r="B5" s="1025"/>
      <c r="C5" s="1025"/>
      <c r="D5" s="1025"/>
      <c r="E5" s="1025"/>
      <c r="F5" s="1025"/>
      <c r="G5" s="1026"/>
      <c r="H5" s="1025"/>
      <c r="I5" s="1026"/>
      <c r="J5" s="1027"/>
      <c r="K5" s="1010"/>
      <c r="L5" s="1011"/>
      <c r="M5" s="1011"/>
      <c r="N5" s="1010"/>
      <c r="O5" s="1011"/>
      <c r="P5" s="1011"/>
      <c r="Q5" s="1028"/>
      <c r="R5" s="1014"/>
      <c r="S5" s="994"/>
      <c r="T5" s="994"/>
      <c r="U5" s="994"/>
      <c r="V5" s="994"/>
      <c r="W5" s="1005"/>
      <c r="X5" s="1005"/>
      <c r="Y5" s="1005"/>
      <c r="Z5" s="1005"/>
      <c r="AA5" s="1005"/>
    </row>
    <row r="6" spans="1:27" s="1006" customFormat="1" ht="17.25" customHeight="1">
      <c r="A6" s="994"/>
      <c r="B6" s="1019" t="s">
        <v>980</v>
      </c>
      <c r="C6" s="1019"/>
      <c r="D6" s="1019"/>
      <c r="E6" s="1020"/>
      <c r="F6" s="1029"/>
      <c r="G6" s="1029"/>
      <c r="H6" s="1020"/>
      <c r="I6" s="1029"/>
      <c r="J6" s="1030"/>
      <c r="K6" s="1007"/>
      <c r="L6" s="1031">
        <f>OTCHET!F9</f>
        <v>46022</v>
      </c>
      <c r="M6" s="1007"/>
      <c r="N6" s="1032" t="s">
        <v>981</v>
      </c>
      <c r="O6" s="996"/>
      <c r="P6" s="1033">
        <f>OTCHET!F9</f>
        <v>46022</v>
      </c>
      <c r="Q6" s="1032" t="s">
        <v>981</v>
      </c>
      <c r="R6" s="1034"/>
      <c r="S6" s="1895">
        <f>+Q4</f>
        <v>2025</v>
      </c>
      <c r="T6" s="1895"/>
      <c r="U6" s="1895"/>
      <c r="V6" s="994"/>
      <c r="W6" s="1005"/>
      <c r="X6" s="1005"/>
      <c r="Y6" s="1005"/>
      <c r="Z6" s="1005"/>
      <c r="AA6" s="1005"/>
    </row>
    <row r="7" spans="1:27" s="1006" customFormat="1" ht="4.5" customHeight="1" thickBot="1">
      <c r="A7" s="994"/>
      <c r="B7" s="1035"/>
      <c r="C7" s="1035"/>
      <c r="D7" s="1035"/>
      <c r="E7" s="1007"/>
      <c r="F7" s="1036"/>
      <c r="G7" s="1036"/>
      <c r="H7" s="1007"/>
      <c r="I7" s="1036"/>
      <c r="J7" s="1036"/>
      <c r="K7" s="1007"/>
      <c r="L7" s="1036"/>
      <c r="M7" s="1007"/>
      <c r="N7" s="1036"/>
      <c r="O7" s="1037"/>
      <c r="P7" s="1038"/>
      <c r="Q7" s="1038"/>
      <c r="R7" s="1034"/>
      <c r="S7" s="1039"/>
      <c r="T7" s="1039"/>
      <c r="U7" s="1039"/>
      <c r="V7" s="996"/>
      <c r="W7" s="1005"/>
      <c r="X7" s="1005"/>
      <c r="Y7" s="1005"/>
      <c r="Z7" s="1005"/>
    </row>
    <row r="8" spans="1:27" s="1006" customFormat="1" ht="57" customHeight="1">
      <c r="A8" s="994"/>
      <c r="B8" s="1040"/>
      <c r="C8" s="1041"/>
      <c r="D8" s="1042"/>
      <c r="E8" s="1007"/>
      <c r="F8" s="1043" t="s">
        <v>982</v>
      </c>
      <c r="G8" s="1044" t="s">
        <v>983</v>
      </c>
      <c r="H8" s="1007"/>
      <c r="I8" s="1045" t="s">
        <v>984</v>
      </c>
      <c r="J8" s="1046" t="s">
        <v>985</v>
      </c>
      <c r="K8" s="1007"/>
      <c r="L8" s="1047" t="s">
        <v>986</v>
      </c>
      <c r="M8" s="1007"/>
      <c r="N8" s="1048" t="s">
        <v>987</v>
      </c>
      <c r="O8" s="1049"/>
      <c r="P8" s="1050" t="s">
        <v>988</v>
      </c>
      <c r="Q8" s="1051" t="s">
        <v>989</v>
      </c>
      <c r="R8" s="1034"/>
      <c r="S8" s="1886" t="s">
        <v>958</v>
      </c>
      <c r="T8" s="1887"/>
      <c r="U8" s="1888"/>
      <c r="V8" s="996"/>
      <c r="W8" s="1005"/>
      <c r="X8" s="1005"/>
      <c r="Y8" s="1005"/>
      <c r="Z8" s="1005"/>
    </row>
    <row r="9" spans="1:27" s="1006" customFormat="1" ht="18" customHeight="1" thickBot="1">
      <c r="A9" s="994"/>
      <c r="B9" s="1052" t="s">
        <v>990</v>
      </c>
      <c r="C9" s="1053"/>
      <c r="D9" s="1054"/>
      <c r="E9" s="1007"/>
      <c r="F9" s="1055">
        <f>+L4</f>
        <v>2025</v>
      </c>
      <c r="G9" s="1056">
        <f>+L6</f>
        <v>46022</v>
      </c>
      <c r="H9" s="1007"/>
      <c r="I9" s="1057">
        <f>+L4</f>
        <v>2025</v>
      </c>
      <c r="J9" s="1058">
        <f>+L6</f>
        <v>46022</v>
      </c>
      <c r="K9" s="1059"/>
      <c r="L9" s="1060">
        <f>+L6</f>
        <v>46022</v>
      </c>
      <c r="M9" s="1059"/>
      <c r="N9" s="1061">
        <f>+L6</f>
        <v>46022</v>
      </c>
      <c r="O9" s="1062"/>
      <c r="P9" s="1063">
        <f>+L4</f>
        <v>2025</v>
      </c>
      <c r="Q9" s="1061">
        <f>+L6</f>
        <v>46022</v>
      </c>
      <c r="R9" s="1034"/>
      <c r="S9" s="1889" t="s">
        <v>959</v>
      </c>
      <c r="T9" s="1890"/>
      <c r="U9" s="1891"/>
      <c r="V9" s="1064"/>
      <c r="W9" s="1005"/>
      <c r="X9" s="1005"/>
      <c r="Y9" s="1005"/>
      <c r="Z9" s="1005"/>
    </row>
    <row r="10" spans="1:27" s="1006" customFormat="1" ht="15.75">
      <c r="A10" s="994"/>
      <c r="B10" s="1065" t="s">
        <v>991</v>
      </c>
      <c r="C10" s="1066"/>
      <c r="D10" s="1067"/>
      <c r="E10" s="1007"/>
      <c r="F10" s="1068" t="s">
        <v>171</v>
      </c>
      <c r="G10" s="1069" t="s">
        <v>172</v>
      </c>
      <c r="H10" s="1007"/>
      <c r="I10" s="1068" t="s">
        <v>703</v>
      </c>
      <c r="J10" s="1069" t="s">
        <v>704</v>
      </c>
      <c r="K10" s="1007"/>
      <c r="L10" s="1069" t="s">
        <v>683</v>
      </c>
      <c r="M10" s="1007"/>
      <c r="N10" s="1070" t="s">
        <v>992</v>
      </c>
      <c r="O10" s="1071"/>
      <c r="P10" s="1072" t="s">
        <v>171</v>
      </c>
      <c r="Q10" s="1073" t="s">
        <v>172</v>
      </c>
      <c r="R10" s="1034"/>
      <c r="S10" s="1074"/>
      <c r="T10" s="1075"/>
      <c r="U10" s="1076"/>
      <c r="V10" s="1064"/>
      <c r="W10" s="1005"/>
      <c r="X10" s="1005"/>
      <c r="Y10" s="1005"/>
      <c r="Z10" s="1005"/>
    </row>
    <row r="11" spans="1:27" s="1006" customFormat="1" ht="15.75">
      <c r="A11" s="1077"/>
      <c r="B11" s="1078" t="s">
        <v>993</v>
      </c>
      <c r="C11" s="1079"/>
      <c r="D11" s="1080"/>
      <c r="E11" s="1007"/>
      <c r="F11" s="1081"/>
      <c r="G11" s="1082"/>
      <c r="H11" s="1007"/>
      <c r="I11" s="1081"/>
      <c r="J11" s="1081"/>
      <c r="K11" s="1083"/>
      <c r="L11" s="1081"/>
      <c r="M11" s="1083"/>
      <c r="N11" s="1084"/>
      <c r="O11" s="1085"/>
      <c r="P11" s="1081"/>
      <c r="Q11" s="1081"/>
      <c r="R11" s="1034"/>
      <c r="S11" s="1078" t="s">
        <v>993</v>
      </c>
      <c r="T11" s="1079"/>
      <c r="U11" s="1080"/>
      <c r="V11" s="1064"/>
      <c r="W11" s="1005"/>
      <c r="X11" s="1005"/>
      <c r="Y11" s="1005"/>
      <c r="Z11" s="1005"/>
    </row>
    <row r="12" spans="1:27" s="1006" customFormat="1" ht="15.75">
      <c r="A12" s="1077"/>
      <c r="B12" s="1086" t="s">
        <v>994</v>
      </c>
      <c r="C12" s="1087"/>
      <c r="D12" s="1088"/>
      <c r="E12" s="1007"/>
      <c r="F12" s="1089"/>
      <c r="G12" s="1090"/>
      <c r="H12" s="1007"/>
      <c r="I12" s="1089"/>
      <c r="J12" s="1089"/>
      <c r="K12" s="1083"/>
      <c r="L12" s="1089"/>
      <c r="M12" s="1083"/>
      <c r="N12" s="1091"/>
      <c r="O12" s="1085"/>
      <c r="P12" s="1089"/>
      <c r="Q12" s="1089"/>
      <c r="R12" s="1034"/>
      <c r="S12" s="1086" t="s">
        <v>994</v>
      </c>
      <c r="T12" s="1087"/>
      <c r="U12" s="1088"/>
      <c r="V12" s="1064"/>
      <c r="W12" s="1005"/>
      <c r="X12" s="1005"/>
      <c r="Y12" s="1005"/>
      <c r="Z12" s="1005"/>
    </row>
    <row r="13" spans="1:27" s="1006" customFormat="1" ht="15.75">
      <c r="A13" s="1077"/>
      <c r="B13" s="1092" t="s">
        <v>995</v>
      </c>
      <c r="C13" s="1093"/>
      <c r="D13" s="1094"/>
      <c r="E13" s="1007"/>
      <c r="F13" s="1095">
        <f>+IF($P$2=0,$P13,0)</f>
        <v>0</v>
      </c>
      <c r="G13" s="1096">
        <f>+IF($P$2=0,$Q13,0)</f>
        <v>0</v>
      </c>
      <c r="H13" s="1007"/>
      <c r="I13" s="1095">
        <f>+IF(OR($P$2=98,$P$2=42,$P$2=96,$P$2=97),$P13,0)</f>
        <v>0</v>
      </c>
      <c r="J13" s="1096">
        <f>+IF(OR($P$2=98,$P$2=42,$P$2=96,$P$2=97),$Q13,0)</f>
        <v>0</v>
      </c>
      <c r="K13" s="1083"/>
      <c r="L13" s="1096">
        <f>+IF($P$2=33,$Q13,0)</f>
        <v>0</v>
      </c>
      <c r="M13" s="1083"/>
      <c r="N13" s="1097">
        <f>+ROUND(+G13+J13+L13,0)</f>
        <v>0</v>
      </c>
      <c r="O13" s="1085"/>
      <c r="P13" s="1095">
        <f>+ROUND(OTCHET!E22+OTCHET!E28+OTCHET!E33+OTCHET!E39+OTCHET!E47+OTCHET!E52+OTCHET!E58+OTCHET!E61+OTCHET!E64+OTCHET!E65+OTCHET!E72+OTCHET!E73,0)</f>
        <v>0</v>
      </c>
      <c r="Q13" s="1096">
        <f>+ROUND(OTCHET!L22+OTCHET!L28+OTCHET!L33+OTCHET!L39+OTCHET!L47+OTCHET!L52+OTCHET!L58+OTCHET!L61+OTCHET!L64+OTCHET!L65+OTCHET!L72+OTCHET!L73,0)</f>
        <v>0</v>
      </c>
      <c r="R13" s="1034"/>
      <c r="S13" s="1847" t="s">
        <v>996</v>
      </c>
      <c r="T13" s="1848"/>
      <c r="U13" s="1849"/>
      <c r="V13" s="1064"/>
      <c r="W13" s="1005"/>
      <c r="X13" s="1005"/>
      <c r="Y13" s="1005"/>
      <c r="Z13" s="1005"/>
    </row>
    <row r="14" spans="1:27" s="1006" customFormat="1" ht="15.75">
      <c r="A14" s="1077"/>
      <c r="B14" s="1098" t="s">
        <v>2040</v>
      </c>
      <c r="C14" s="1099"/>
      <c r="D14" s="1100"/>
      <c r="E14" s="1007"/>
      <c r="F14" s="1101">
        <f t="shared" ref="F14:F22" si="0">+IF($P$2=0,$P14,0)</f>
        <v>0</v>
      </c>
      <c r="G14" s="1102">
        <f t="shared" ref="G14:G22" si="1">+IF($P$2=0,$Q14,0)</f>
        <v>0</v>
      </c>
      <c r="H14" s="1007"/>
      <c r="I14" s="1101">
        <f t="shared" ref="I14:I22" si="2">+IF(OR($P$2=98,$P$2=42,$P$2=96,$P$2=97),$P14,0)</f>
        <v>0</v>
      </c>
      <c r="J14" s="1102">
        <f t="shared" ref="J14:J22" si="3">+IF(OR($P$2=98,$P$2=42,$P$2=96,$P$2=97),$Q14,0)</f>
        <v>0</v>
      </c>
      <c r="K14" s="1083"/>
      <c r="L14" s="1102">
        <f t="shared" ref="L14:L22" si="4">+IF($P$2=33,$Q14,0)</f>
        <v>0</v>
      </c>
      <c r="M14" s="1083"/>
      <c r="N14" s="1103">
        <f t="shared" ref="N14:N22" si="5">+ROUND(+G14+J14+L14,0)</f>
        <v>0</v>
      </c>
      <c r="O14" s="1085"/>
      <c r="P14" s="1101">
        <f>+ROUND(+OTCHET!E90+OTCHET!E93+OTCHET!E94+OTCHET!E113+OTCHET!E114,0)</f>
        <v>0</v>
      </c>
      <c r="Q14" s="1102">
        <f>+ROUND(+OTCHET!L90+OTCHET!L93+OTCHET!L94+OTCHET!L113+OTCHET!L114,0)</f>
        <v>0</v>
      </c>
      <c r="R14" s="1034"/>
      <c r="S14" s="1850" t="s">
        <v>2028</v>
      </c>
      <c r="T14" s="1851"/>
      <c r="U14" s="1852"/>
      <c r="V14" s="1064"/>
      <c r="W14" s="1005"/>
      <c r="X14" s="1005"/>
      <c r="Y14" s="1005"/>
      <c r="Z14" s="1005"/>
    </row>
    <row r="15" spans="1:27" s="1006" customFormat="1" ht="15.75">
      <c r="A15" s="1077"/>
      <c r="B15" s="1142" t="s">
        <v>2026</v>
      </c>
      <c r="C15" s="1687"/>
      <c r="D15" s="1688"/>
      <c r="E15" s="1007"/>
      <c r="F15" s="1143">
        <f>+IF($P$2=0,$P15,0)</f>
        <v>0</v>
      </c>
      <c r="G15" s="1144">
        <f>+IF($P$2=0,$Q15,0)</f>
        <v>0</v>
      </c>
      <c r="H15" s="1007"/>
      <c r="I15" s="1143">
        <f>+IF(OR($P$2=98,$P$2=42,$P$2=96,$P$2=97),$P15,0)</f>
        <v>0</v>
      </c>
      <c r="J15" s="1144">
        <f>+IF(OR($P$2=98,$P$2=42,$P$2=96,$P$2=97),$Q15,0)</f>
        <v>0</v>
      </c>
      <c r="K15" s="1083"/>
      <c r="L15" s="1144">
        <f>+IF($P$2=33,$Q15,0)</f>
        <v>0</v>
      </c>
      <c r="M15" s="1083"/>
      <c r="N15" s="1145">
        <f>+ROUND(+G15+J15+L15,0)</f>
        <v>0</v>
      </c>
      <c r="O15" s="1085"/>
      <c r="P15" s="1143">
        <f>+ROUND(+OTCHET!E113+OTCHET!E114,0)</f>
        <v>0</v>
      </c>
      <c r="Q15" s="1144">
        <f>+OTCHET!L113+OTCHET!L114</f>
        <v>0</v>
      </c>
      <c r="R15" s="1034"/>
      <c r="S15" s="1892" t="s">
        <v>2027</v>
      </c>
      <c r="T15" s="1893"/>
      <c r="U15" s="1894"/>
      <c r="V15" s="1064"/>
      <c r="W15" s="1005"/>
      <c r="X15" s="1005"/>
      <c r="Y15" s="1005"/>
      <c r="Z15" s="1005"/>
    </row>
    <row r="16" spans="1:27" s="1006" customFormat="1" ht="15.75">
      <c r="A16" s="1077"/>
      <c r="B16" s="1098" t="s">
        <v>997</v>
      </c>
      <c r="C16" s="1099"/>
      <c r="D16" s="1100"/>
      <c r="E16" s="1007"/>
      <c r="F16" s="1101">
        <f t="shared" si="0"/>
        <v>0</v>
      </c>
      <c r="G16" s="1102">
        <f t="shared" si="1"/>
        <v>0</v>
      </c>
      <c r="H16" s="1007"/>
      <c r="I16" s="1101">
        <f t="shared" si="2"/>
        <v>0</v>
      </c>
      <c r="J16" s="1102">
        <f t="shared" si="3"/>
        <v>0</v>
      </c>
      <c r="K16" s="1083"/>
      <c r="L16" s="1102">
        <f t="shared" si="4"/>
        <v>0</v>
      </c>
      <c r="M16" s="1083"/>
      <c r="N16" s="1103">
        <f t="shared" si="5"/>
        <v>0</v>
      </c>
      <c r="O16" s="1085"/>
      <c r="P16" s="1101">
        <f>+ROUND(+OTCHET!E108+OTCHET!E109,0)</f>
        <v>0</v>
      </c>
      <c r="Q16" s="1102">
        <f>+ROUND(+OTCHET!L108+OTCHET!L109,0)</f>
        <v>0</v>
      </c>
      <c r="R16" s="1034"/>
      <c r="S16" s="1850" t="s">
        <v>998</v>
      </c>
      <c r="T16" s="1851"/>
      <c r="U16" s="1852"/>
      <c r="V16" s="1064"/>
      <c r="W16" s="1005"/>
      <c r="X16" s="1005"/>
      <c r="Y16" s="1005"/>
      <c r="Z16" s="1005"/>
    </row>
    <row r="17" spans="1:26" s="1006" customFormat="1" ht="15.75">
      <c r="A17" s="1077"/>
      <c r="B17" s="1098" t="s">
        <v>999</v>
      </c>
      <c r="C17" s="1099"/>
      <c r="D17" s="1100"/>
      <c r="E17" s="1007"/>
      <c r="F17" s="1101">
        <f t="shared" si="0"/>
        <v>0</v>
      </c>
      <c r="G17" s="1102">
        <f t="shared" si="1"/>
        <v>0</v>
      </c>
      <c r="H17" s="1007"/>
      <c r="I17" s="1101">
        <f t="shared" si="2"/>
        <v>0</v>
      </c>
      <c r="J17" s="1102">
        <f t="shared" si="3"/>
        <v>0</v>
      </c>
      <c r="K17" s="1083"/>
      <c r="L17" s="1102">
        <f t="shared" si="4"/>
        <v>0</v>
      </c>
      <c r="M17" s="1083"/>
      <c r="N17" s="1103">
        <f t="shared" si="5"/>
        <v>0</v>
      </c>
      <c r="O17" s="1085"/>
      <c r="P17" s="1101">
        <f>+ROUND(OTCHET!E77,0)</f>
        <v>0</v>
      </c>
      <c r="Q17" s="1102">
        <f>+ROUND(OTCHET!L77,0)</f>
        <v>0</v>
      </c>
      <c r="R17" s="1034"/>
      <c r="S17" s="1850" t="s">
        <v>1000</v>
      </c>
      <c r="T17" s="1851"/>
      <c r="U17" s="1852"/>
      <c r="V17" s="1064"/>
      <c r="W17" s="1005"/>
      <c r="X17" s="1005"/>
      <c r="Y17" s="1005"/>
      <c r="Z17" s="1005"/>
    </row>
    <row r="18" spans="1:26" s="1006" customFormat="1" ht="15.75">
      <c r="A18" s="1077"/>
      <c r="B18" s="1098" t="s">
        <v>1001</v>
      </c>
      <c r="C18" s="1099"/>
      <c r="D18" s="1100"/>
      <c r="E18" s="1007"/>
      <c r="F18" s="1101">
        <f t="shared" si="0"/>
        <v>0</v>
      </c>
      <c r="G18" s="1102">
        <f t="shared" si="1"/>
        <v>0</v>
      </c>
      <c r="H18" s="1007"/>
      <c r="I18" s="1101">
        <f t="shared" si="2"/>
        <v>0</v>
      </c>
      <c r="J18" s="1102">
        <f t="shared" si="3"/>
        <v>0</v>
      </c>
      <c r="K18" s="1083"/>
      <c r="L18" s="1102">
        <f t="shared" si="4"/>
        <v>0</v>
      </c>
      <c r="M18" s="1083"/>
      <c r="N18" s="1103">
        <f t="shared" si="5"/>
        <v>0</v>
      </c>
      <c r="O18" s="1085"/>
      <c r="P18" s="1101">
        <f>+ROUND(OTCHET!E78+OTCHET!E79,0)</f>
        <v>0</v>
      </c>
      <c r="Q18" s="1102">
        <f>+ROUND(OTCHET!L78+OTCHET!L79,0)</f>
        <v>0</v>
      </c>
      <c r="R18" s="1034"/>
      <c r="S18" s="1850" t="s">
        <v>1002</v>
      </c>
      <c r="T18" s="1851"/>
      <c r="U18" s="1852"/>
      <c r="V18" s="1064"/>
      <c r="W18" s="1005"/>
      <c r="X18" s="1005"/>
      <c r="Y18" s="1005"/>
      <c r="Z18" s="1005"/>
    </row>
    <row r="19" spans="1:26" s="1006" customFormat="1" ht="15.75">
      <c r="A19" s="1077"/>
      <c r="B19" s="1098" t="s">
        <v>1003</v>
      </c>
      <c r="C19" s="1099"/>
      <c r="D19" s="1100"/>
      <c r="E19" s="1007"/>
      <c r="F19" s="1101">
        <f t="shared" si="0"/>
        <v>0</v>
      </c>
      <c r="G19" s="1102">
        <f t="shared" si="1"/>
        <v>0</v>
      </c>
      <c r="H19" s="1007"/>
      <c r="I19" s="1101">
        <f t="shared" si="2"/>
        <v>0</v>
      </c>
      <c r="J19" s="1102">
        <f t="shared" si="3"/>
        <v>0</v>
      </c>
      <c r="K19" s="1083"/>
      <c r="L19" s="1102">
        <f t="shared" si="4"/>
        <v>0</v>
      </c>
      <c r="M19" s="1083"/>
      <c r="N19" s="1103">
        <f t="shared" si="5"/>
        <v>0</v>
      </c>
      <c r="O19" s="1085"/>
      <c r="P19" s="1101">
        <f>+ROUND(OTCHET!E135++OTCHET!E136,0)</f>
        <v>0</v>
      </c>
      <c r="Q19" s="1102">
        <f>+ROUND(OTCHET!L135++OTCHET!L136,0)</f>
        <v>0</v>
      </c>
      <c r="R19" s="1034"/>
      <c r="S19" s="1850" t="s">
        <v>1004</v>
      </c>
      <c r="T19" s="1851"/>
      <c r="U19" s="1852"/>
      <c r="V19" s="1064"/>
      <c r="W19" s="1005"/>
      <c r="X19" s="1005"/>
      <c r="Y19" s="1005"/>
      <c r="Z19" s="1005"/>
    </row>
    <row r="20" spans="1:26" s="1006" customFormat="1" ht="15.75">
      <c r="A20" s="1077"/>
      <c r="B20" s="1098" t="s">
        <v>1005</v>
      </c>
      <c r="C20" s="1099"/>
      <c r="D20" s="1100"/>
      <c r="E20" s="1007"/>
      <c r="F20" s="1101">
        <f t="shared" si="0"/>
        <v>0</v>
      </c>
      <c r="G20" s="1102">
        <f t="shared" si="1"/>
        <v>0</v>
      </c>
      <c r="H20" s="1007"/>
      <c r="I20" s="1101">
        <f t="shared" si="2"/>
        <v>0</v>
      </c>
      <c r="J20" s="1102">
        <f t="shared" si="3"/>
        <v>0</v>
      </c>
      <c r="K20" s="1083"/>
      <c r="L20" s="1102">
        <f t="shared" si="4"/>
        <v>0</v>
      </c>
      <c r="M20" s="1083"/>
      <c r="N20" s="1103">
        <f t="shared" si="5"/>
        <v>0</v>
      </c>
      <c r="O20" s="1085"/>
      <c r="P20" s="1101">
        <f>+ROUND(+SUM(OTCHET!E81:E89),0)</f>
        <v>0</v>
      </c>
      <c r="Q20" s="1102">
        <f>+ROUND(+SUM(OTCHET!L81:L89),0)</f>
        <v>0</v>
      </c>
      <c r="R20" s="1034"/>
      <c r="S20" s="1850" t="s">
        <v>1006</v>
      </c>
      <c r="T20" s="1851"/>
      <c r="U20" s="1852"/>
      <c r="V20" s="1064"/>
      <c r="W20" s="1005"/>
      <c r="X20" s="1005"/>
      <c r="Y20" s="1005"/>
      <c r="Z20" s="1005"/>
    </row>
    <row r="21" spans="1:26" s="1006" customFormat="1" ht="15.75">
      <c r="A21" s="1077"/>
      <c r="B21" s="1098" t="s">
        <v>1007</v>
      </c>
      <c r="C21" s="1099"/>
      <c r="D21" s="1100"/>
      <c r="E21" s="1007"/>
      <c r="F21" s="1101">
        <f t="shared" si="0"/>
        <v>0</v>
      </c>
      <c r="G21" s="1102">
        <f t="shared" si="1"/>
        <v>0</v>
      </c>
      <c r="H21" s="1007"/>
      <c r="I21" s="1101">
        <f t="shared" si="2"/>
        <v>0</v>
      </c>
      <c r="J21" s="1102">
        <f t="shared" si="3"/>
        <v>0</v>
      </c>
      <c r="K21" s="1083"/>
      <c r="L21" s="1102">
        <f t="shared" si="4"/>
        <v>0</v>
      </c>
      <c r="M21" s="1083"/>
      <c r="N21" s="1103">
        <f t="shared" si="5"/>
        <v>0</v>
      </c>
      <c r="O21" s="1085"/>
      <c r="P21" s="1101">
        <f>+ROUND(OTCHET!E75+OTCHET!E76+OTCHET!E80,0)</f>
        <v>0</v>
      </c>
      <c r="Q21" s="1102">
        <f>+ROUND(OTCHET!L75+OTCHET!L76+OTCHET!L80,0)</f>
        <v>0</v>
      </c>
      <c r="R21" s="1034"/>
      <c r="S21" s="1850" t="s">
        <v>1008</v>
      </c>
      <c r="T21" s="1851"/>
      <c r="U21" s="1852"/>
      <c r="V21" s="1064"/>
      <c r="W21" s="1005"/>
      <c r="X21" s="1005"/>
      <c r="Y21" s="1005"/>
      <c r="Z21" s="1005"/>
    </row>
    <row r="22" spans="1:26" s="1006" customFormat="1" ht="15.75">
      <c r="A22" s="1077"/>
      <c r="B22" s="1104" t="s">
        <v>1009</v>
      </c>
      <c r="C22" s="1105"/>
      <c r="D22" s="1106"/>
      <c r="E22" s="1007"/>
      <c r="F22" s="1107">
        <f t="shared" si="0"/>
        <v>0</v>
      </c>
      <c r="G22" s="1108">
        <f t="shared" si="1"/>
        <v>0</v>
      </c>
      <c r="H22" s="1007"/>
      <c r="I22" s="1107">
        <f t="shared" si="2"/>
        <v>0</v>
      </c>
      <c r="J22" s="1108">
        <f t="shared" si="3"/>
        <v>0</v>
      </c>
      <c r="K22" s="1083"/>
      <c r="L22" s="1108">
        <f t="shared" si="4"/>
        <v>0</v>
      </c>
      <c r="M22" s="1083"/>
      <c r="N22" s="1109">
        <f t="shared" si="5"/>
        <v>0</v>
      </c>
      <c r="O22" s="1085"/>
      <c r="P22" s="1107">
        <f>+ROUND(OTCHET!E111+OTCHET!E112+OTCHET!E118,0)</f>
        <v>0</v>
      </c>
      <c r="Q22" s="1108">
        <f>+ROUND(OTCHET!L111+OTCHET!L112+OTCHET!L118,0)</f>
        <v>0</v>
      </c>
      <c r="R22" s="1034"/>
      <c r="S22" s="1874" t="s">
        <v>2029</v>
      </c>
      <c r="T22" s="1875"/>
      <c r="U22" s="1876"/>
      <c r="V22" s="1064"/>
      <c r="W22" s="1005"/>
      <c r="X22" s="1005"/>
      <c r="Y22" s="1005"/>
      <c r="Z22" s="1005"/>
    </row>
    <row r="23" spans="1:26" s="1006" customFormat="1" ht="15.75">
      <c r="A23" s="1077"/>
      <c r="B23" s="1110" t="s">
        <v>1010</v>
      </c>
      <c r="C23" s="1111"/>
      <c r="D23" s="1112"/>
      <c r="E23" s="1007"/>
      <c r="F23" s="1113">
        <f>+ROUND(+SUM(F13,F14,F16,F17,F18,F19,F20,F21,F22),0)</f>
        <v>0</v>
      </c>
      <c r="G23" s="1113">
        <f>+ROUND(+SUM(G13,G14,G16,G17,G18,G19,G20,G21,G22),0)</f>
        <v>0</v>
      </c>
      <c r="H23" s="1007"/>
      <c r="I23" s="1113">
        <f>+ROUND(+SUM(I13,I14,I16,I17,I18,I19,I20,I21,I22),0)</f>
        <v>0</v>
      </c>
      <c r="J23" s="1113">
        <f>+ROUND(+SUM(J13,J14,J16,J17,J18,J19,J20,J21,J22),0)</f>
        <v>0</v>
      </c>
      <c r="K23" s="1083"/>
      <c r="L23" s="1113">
        <f>+ROUND(+SUM(L13,L14,L16,L17,L18,L19,L20,L21,L22),0)</f>
        <v>0</v>
      </c>
      <c r="M23" s="1083"/>
      <c r="N23" s="1113">
        <f>+ROUND(+SUM(N13,N14,N16,N17,N18,N19,N20,N21,N22),0)</f>
        <v>0</v>
      </c>
      <c r="O23" s="1085"/>
      <c r="P23" s="1113">
        <f>+ROUND(+SUM(P13,P14,P16,P17,P18,P19,P20,P21,P22),0)</f>
        <v>0</v>
      </c>
      <c r="Q23" s="1113">
        <f>+ROUND(+SUM(Q13,Q14,Q16,Q17,Q18,Q19,Q20,Q21,Q22),0)</f>
        <v>0</v>
      </c>
      <c r="R23" s="1034"/>
      <c r="S23" s="1844" t="s">
        <v>1011</v>
      </c>
      <c r="T23" s="1845"/>
      <c r="U23" s="1846"/>
      <c r="V23" s="1064"/>
      <c r="W23" s="1005"/>
      <c r="X23" s="1005"/>
      <c r="Y23" s="1005"/>
      <c r="Z23" s="1005"/>
    </row>
    <row r="24" spans="1:26" s="1006" customFormat="1" ht="15.75">
      <c r="A24" s="1077"/>
      <c r="B24" s="1086" t="s">
        <v>1012</v>
      </c>
      <c r="C24" s="1087"/>
      <c r="D24" s="1088"/>
      <c r="E24" s="1007"/>
      <c r="F24" s="1081"/>
      <c r="G24" s="1082"/>
      <c r="H24" s="1007"/>
      <c r="I24" s="1081"/>
      <c r="J24" s="1082"/>
      <c r="K24" s="1083"/>
      <c r="L24" s="1082"/>
      <c r="M24" s="1083"/>
      <c r="N24" s="1116"/>
      <c r="O24" s="1085"/>
      <c r="P24" s="1081"/>
      <c r="Q24" s="1082"/>
      <c r="R24" s="1034"/>
      <c r="S24" s="1086" t="s">
        <v>1012</v>
      </c>
      <c r="T24" s="1087"/>
      <c r="U24" s="1088"/>
      <c r="V24" s="1064"/>
      <c r="W24" s="1005"/>
      <c r="X24" s="1005"/>
      <c r="Y24" s="1005"/>
      <c r="Z24" s="1005"/>
    </row>
    <row r="25" spans="1:26" s="1006" customFormat="1" ht="15.75">
      <c r="A25" s="1077"/>
      <c r="B25" s="1092" t="s">
        <v>1013</v>
      </c>
      <c r="C25" s="1093"/>
      <c r="D25" s="1094"/>
      <c r="E25" s="1007"/>
      <c r="F25" s="1095">
        <f>+IF($P$2=0,$P25,0)</f>
        <v>0</v>
      </c>
      <c r="G25" s="1096">
        <f>+IF($P$2=0,$Q25,0)</f>
        <v>0</v>
      </c>
      <c r="H25" s="1007"/>
      <c r="I25" s="1095">
        <f>+IF(OR($P$2=98,$P$2=42,$P$2=96,$P$2=97),$P25,0)</f>
        <v>0</v>
      </c>
      <c r="J25" s="1096">
        <f>+IF(OR($P$2=98,$P$2=42,$P$2=96,$P$2=97),$Q25,0)</f>
        <v>0</v>
      </c>
      <c r="K25" s="1083"/>
      <c r="L25" s="1096">
        <f>+IF($P$2=33,$Q25,0)</f>
        <v>0</v>
      </c>
      <c r="M25" s="1083"/>
      <c r="N25" s="1097">
        <f>+ROUND(+G25+J25+L25,0)</f>
        <v>0</v>
      </c>
      <c r="O25" s="1085"/>
      <c r="P25" s="1095">
        <f>+ROUND(OTCHET!E133,0)</f>
        <v>0</v>
      </c>
      <c r="Q25" s="1096">
        <f>+ROUND(OTCHET!L133,0)</f>
        <v>0</v>
      </c>
      <c r="R25" s="1034"/>
      <c r="S25" s="1847" t="s">
        <v>1014</v>
      </c>
      <c r="T25" s="1848"/>
      <c r="U25" s="1849"/>
      <c r="V25" s="1064"/>
      <c r="W25" s="1005"/>
      <c r="X25" s="1005"/>
      <c r="Y25" s="1005"/>
      <c r="Z25" s="1005"/>
    </row>
    <row r="26" spans="1:26" s="1006" customFormat="1" ht="15.75">
      <c r="A26" s="1077"/>
      <c r="B26" s="1098" t="s">
        <v>1015</v>
      </c>
      <c r="C26" s="1099"/>
      <c r="D26" s="1100"/>
      <c r="E26" s="1007"/>
      <c r="F26" s="1101">
        <f>+IF($P$2=0,$P26,0)</f>
        <v>0</v>
      </c>
      <c r="G26" s="1102">
        <f>+IF($P$2=0,$Q26,0)</f>
        <v>0</v>
      </c>
      <c r="H26" s="1007"/>
      <c r="I26" s="1101">
        <f>+IF(OR($P$2=98,$P$2=42,$P$2=96,$P$2=97),$P26,0)</f>
        <v>0</v>
      </c>
      <c r="J26" s="1102">
        <f>+IF(OR($P$2=98,$P$2=42,$P$2=96,$P$2=97),$Q26,0)</f>
        <v>0</v>
      </c>
      <c r="K26" s="1083"/>
      <c r="L26" s="1102">
        <f>+IF($P$2=33,$Q26,0)</f>
        <v>0</v>
      </c>
      <c r="M26" s="1083"/>
      <c r="N26" s="1103">
        <f>+ROUND(+G26+J26+L26,0)</f>
        <v>0</v>
      </c>
      <c r="O26" s="1085"/>
      <c r="P26" s="1101">
        <f>+ROUND(+SUM(OTCHET!E124:E132)+OTCHET!E134,0)</f>
        <v>0</v>
      </c>
      <c r="Q26" s="1102">
        <f>+ROUND(+SUM(OTCHET!L124:L132)+OTCHET!L134,0)</f>
        <v>0</v>
      </c>
      <c r="R26" s="1034"/>
      <c r="S26" s="1850" t="s">
        <v>1016</v>
      </c>
      <c r="T26" s="1851"/>
      <c r="U26" s="1852"/>
      <c r="V26" s="1064"/>
      <c r="W26" s="1005"/>
      <c r="X26" s="1005"/>
      <c r="Y26" s="1005"/>
      <c r="Z26" s="1005"/>
    </row>
    <row r="27" spans="1:26" s="1006" customFormat="1" ht="15.75">
      <c r="A27" s="1077"/>
      <c r="B27" s="1104" t="s">
        <v>1017</v>
      </c>
      <c r="C27" s="1105"/>
      <c r="D27" s="1106"/>
      <c r="E27" s="1007"/>
      <c r="F27" s="1107">
        <f>+IF($P$2=0,$P27,0)</f>
        <v>0</v>
      </c>
      <c r="G27" s="1108">
        <f>+IF($P$2=0,$Q27,0)</f>
        <v>0</v>
      </c>
      <c r="H27" s="1007"/>
      <c r="I27" s="1107">
        <f>+IF(OR($P$2=98,$P$2=42,$P$2=96,$P$2=97),$P27,0)</f>
        <v>0</v>
      </c>
      <c r="J27" s="1108">
        <f>+IF(OR($P$2=98,$P$2=42,$P$2=96,$P$2=97),$Q27,0)</f>
        <v>0</v>
      </c>
      <c r="K27" s="1083"/>
      <c r="L27" s="1108">
        <f>+IF($P$2=33,$Q27,0)</f>
        <v>0</v>
      </c>
      <c r="M27" s="1083"/>
      <c r="N27" s="1109">
        <f>+ROUND(+G27+J27+L27,0)</f>
        <v>0</v>
      </c>
      <c r="O27" s="1085"/>
      <c r="P27" s="1107">
        <f>+ROUND(+OTCHET!E107,0)</f>
        <v>0</v>
      </c>
      <c r="Q27" s="1108">
        <f>+ROUND(+OTCHET!L107,0)</f>
        <v>0</v>
      </c>
      <c r="R27" s="1034"/>
      <c r="S27" s="1874" t="s">
        <v>1018</v>
      </c>
      <c r="T27" s="1875"/>
      <c r="U27" s="1876"/>
      <c r="V27" s="1064"/>
      <c r="W27" s="1005"/>
      <c r="X27" s="1005"/>
      <c r="Y27" s="1005"/>
      <c r="Z27" s="1005"/>
    </row>
    <row r="28" spans="1:26" s="1006" customFormat="1" ht="15.75">
      <c r="A28" s="1077"/>
      <c r="B28" s="1110" t="s">
        <v>1019</v>
      </c>
      <c r="C28" s="1111"/>
      <c r="D28" s="1112"/>
      <c r="E28" s="1007"/>
      <c r="F28" s="1113">
        <f>+ROUND(+SUM(F25:F27),0)</f>
        <v>0</v>
      </c>
      <c r="G28" s="1114">
        <f>+ROUND(+SUM(G25:G27),0)</f>
        <v>0</v>
      </c>
      <c r="H28" s="1007"/>
      <c r="I28" s="1113">
        <f>+ROUND(+SUM(I25:I27),0)</f>
        <v>0</v>
      </c>
      <c r="J28" s="1114">
        <f>+ROUND(+SUM(J25:J27),0)</f>
        <v>0</v>
      </c>
      <c r="K28" s="1083"/>
      <c r="L28" s="1114">
        <f>+ROUND(+SUM(L25:L27),0)</f>
        <v>0</v>
      </c>
      <c r="M28" s="1083"/>
      <c r="N28" s="1115">
        <f>+ROUND(+SUM(N25:N27),0)</f>
        <v>0</v>
      </c>
      <c r="O28" s="1085"/>
      <c r="P28" s="1113">
        <f>+ROUND(+SUM(P25:P27),0)</f>
        <v>0</v>
      </c>
      <c r="Q28" s="1114">
        <f>+ROUND(+SUM(Q25:Q27),0)</f>
        <v>0</v>
      </c>
      <c r="R28" s="1034"/>
      <c r="S28" s="1844" t="s">
        <v>1020</v>
      </c>
      <c r="T28" s="1845"/>
      <c r="U28" s="1846"/>
      <c r="V28" s="1064"/>
      <c r="W28" s="1005"/>
      <c r="X28" s="1005"/>
      <c r="Y28" s="1005"/>
      <c r="Z28" s="1005"/>
    </row>
    <row r="29" spans="1:26" s="1006" customFormat="1" ht="6" customHeight="1">
      <c r="A29" s="1077"/>
      <c r="B29" s="1117"/>
      <c r="C29" s="1118"/>
      <c r="D29" s="1119"/>
      <c r="E29" s="1007"/>
      <c r="F29" s="1089"/>
      <c r="G29" s="1090"/>
      <c r="H29" s="1007"/>
      <c r="I29" s="1089"/>
      <c r="J29" s="1090"/>
      <c r="K29" s="1083"/>
      <c r="L29" s="1090"/>
      <c r="M29" s="1083"/>
      <c r="N29" s="1120"/>
      <c r="O29" s="1085"/>
      <c r="P29" s="1089"/>
      <c r="Q29" s="1090"/>
      <c r="R29" s="1034"/>
      <c r="S29" s="1121"/>
      <c r="T29" s="1122"/>
      <c r="U29" s="1123"/>
      <c r="V29" s="1064"/>
      <c r="W29" s="1005"/>
      <c r="X29" s="1005"/>
      <c r="Y29" s="1005"/>
      <c r="Z29" s="1005"/>
    </row>
    <row r="30" spans="1:26" s="1006" customFormat="1" ht="15.75" hidden="1">
      <c r="A30" s="1077"/>
      <c r="B30" s="1124" t="s">
        <v>1021</v>
      </c>
      <c r="C30" s="1125"/>
      <c r="D30" s="1126"/>
      <c r="E30" s="1007"/>
      <c r="F30" s="1127"/>
      <c r="G30" s="1128"/>
      <c r="H30" s="1007"/>
      <c r="I30" s="1127"/>
      <c r="J30" s="1128"/>
      <c r="K30" s="1083"/>
      <c r="L30" s="1128"/>
      <c r="M30" s="1083"/>
      <c r="N30" s="1129"/>
      <c r="O30" s="1085"/>
      <c r="P30" s="1127"/>
      <c r="Q30" s="1128"/>
      <c r="R30" s="1034"/>
      <c r="S30" s="1130"/>
      <c r="T30" s="1131"/>
      <c r="U30" s="1132"/>
      <c r="V30" s="1064"/>
      <c r="W30" s="1005"/>
      <c r="X30" s="1005"/>
      <c r="Y30" s="1005"/>
      <c r="Z30" s="1005"/>
    </row>
    <row r="31" spans="1:26" s="1006" customFormat="1" ht="15.75" hidden="1">
      <c r="A31" s="1077"/>
      <c r="B31" s="1133" t="s">
        <v>1022</v>
      </c>
      <c r="C31" s="1134"/>
      <c r="D31" s="1135"/>
      <c r="E31" s="1007"/>
      <c r="F31" s="1136"/>
      <c r="G31" s="1137"/>
      <c r="H31" s="1007"/>
      <c r="I31" s="1136"/>
      <c r="J31" s="1137"/>
      <c r="K31" s="1083"/>
      <c r="L31" s="1137"/>
      <c r="M31" s="1083"/>
      <c r="N31" s="1138"/>
      <c r="O31" s="1085"/>
      <c r="P31" s="1136"/>
      <c r="Q31" s="1137"/>
      <c r="R31" s="1034"/>
      <c r="S31" s="1139"/>
      <c r="T31" s="1140"/>
      <c r="U31" s="1141"/>
      <c r="V31" s="1064"/>
      <c r="W31" s="1005"/>
      <c r="X31" s="1005"/>
      <c r="Y31" s="1005"/>
      <c r="Z31" s="1005"/>
    </row>
    <row r="32" spans="1:26" s="1006" customFormat="1" ht="15.75" hidden="1">
      <c r="A32" s="1077"/>
      <c r="B32" s="1142" t="s">
        <v>1023</v>
      </c>
      <c r="C32" s="1134"/>
      <c r="D32" s="1135"/>
      <c r="E32" s="1007"/>
      <c r="F32" s="1143"/>
      <c r="G32" s="1144"/>
      <c r="H32" s="1007"/>
      <c r="I32" s="1143"/>
      <c r="J32" s="1144"/>
      <c r="K32" s="1083"/>
      <c r="L32" s="1144"/>
      <c r="M32" s="1083"/>
      <c r="N32" s="1145"/>
      <c r="O32" s="1085"/>
      <c r="P32" s="1143"/>
      <c r="Q32" s="1144"/>
      <c r="R32" s="1034"/>
      <c r="S32" s="1146"/>
      <c r="T32" s="1147"/>
      <c r="U32" s="1148"/>
      <c r="V32" s="1064"/>
      <c r="W32" s="1005"/>
      <c r="X32" s="1005"/>
      <c r="Y32" s="1005"/>
      <c r="Z32" s="1005"/>
    </row>
    <row r="33" spans="1:26" s="1006" customFormat="1" ht="15.75" hidden="1">
      <c r="A33" s="1077"/>
      <c r="B33" s="1142" t="s">
        <v>1024</v>
      </c>
      <c r="C33" s="1134"/>
      <c r="D33" s="1135"/>
      <c r="E33" s="1007"/>
      <c r="F33" s="1143"/>
      <c r="G33" s="1144"/>
      <c r="H33" s="1007"/>
      <c r="I33" s="1143"/>
      <c r="J33" s="1144"/>
      <c r="K33" s="1083"/>
      <c r="L33" s="1144"/>
      <c r="M33" s="1083"/>
      <c r="N33" s="1145"/>
      <c r="O33" s="1085"/>
      <c r="P33" s="1143"/>
      <c r="Q33" s="1144"/>
      <c r="R33" s="1034"/>
      <c r="S33" s="1146"/>
      <c r="T33" s="1147"/>
      <c r="U33" s="1148"/>
      <c r="V33" s="1064"/>
      <c r="W33" s="1005"/>
      <c r="X33" s="1005"/>
      <c r="Y33" s="1005"/>
      <c r="Z33" s="1005"/>
    </row>
    <row r="34" spans="1:26" s="1006" customFormat="1" ht="15.75" hidden="1">
      <c r="A34" s="1077"/>
      <c r="B34" s="1149" t="s">
        <v>1025</v>
      </c>
      <c r="C34" s="1134"/>
      <c r="D34" s="1135"/>
      <c r="E34" s="1007"/>
      <c r="F34" s="1150"/>
      <c r="G34" s="1151"/>
      <c r="H34" s="1007"/>
      <c r="I34" s="1150"/>
      <c r="J34" s="1151"/>
      <c r="K34" s="1083"/>
      <c r="L34" s="1151"/>
      <c r="M34" s="1083"/>
      <c r="N34" s="1152"/>
      <c r="O34" s="1085"/>
      <c r="P34" s="1150"/>
      <c r="Q34" s="1151"/>
      <c r="R34" s="1034"/>
      <c r="S34" s="1153"/>
      <c r="T34" s="1154"/>
      <c r="U34" s="1155"/>
      <c r="V34" s="1064"/>
      <c r="W34" s="1005"/>
      <c r="X34" s="1005"/>
      <c r="Y34" s="1005"/>
      <c r="Z34" s="1005"/>
    </row>
    <row r="35" spans="1:26" s="1006" customFormat="1" ht="15.75">
      <c r="A35" s="1077"/>
      <c r="B35" s="1110" t="s">
        <v>1026</v>
      </c>
      <c r="C35" s="1111"/>
      <c r="D35" s="1112"/>
      <c r="E35" s="1007"/>
      <c r="F35" s="1113">
        <f>+IF($P$2=0,$P35,0)</f>
        <v>0</v>
      </c>
      <c r="G35" s="1114">
        <f>+IF($P$2=0,$Q35,0)</f>
        <v>0</v>
      </c>
      <c r="H35" s="1007"/>
      <c r="I35" s="1113">
        <f>+IF(OR($P$2=98,$P$2=42,$P$2=96,$P$2=97),$P35,0)</f>
        <v>0</v>
      </c>
      <c r="J35" s="1114">
        <f>+IF(OR($P$2=98,$P$2=42,$P$2=96,$P$2=97),$Q35,0)</f>
        <v>0</v>
      </c>
      <c r="K35" s="1083"/>
      <c r="L35" s="1114">
        <f>+IF($P$2=33,$Q35,0)</f>
        <v>0</v>
      </c>
      <c r="M35" s="1083"/>
      <c r="N35" s="1115">
        <f t="shared" ref="N35:N40" si="6">+ROUND(+G35+J35+L35,0)</f>
        <v>0</v>
      </c>
      <c r="O35" s="1085"/>
      <c r="P35" s="1113">
        <f>+ROUND(+OTCHET!E119+OTCHET!E117,0)</f>
        <v>0</v>
      </c>
      <c r="Q35" s="1114">
        <f>+ROUND(+OTCHET!L119+OTCHET!L117,0)</f>
        <v>0</v>
      </c>
      <c r="R35" s="1034"/>
      <c r="S35" s="1844" t="s">
        <v>1027</v>
      </c>
      <c r="T35" s="1845"/>
      <c r="U35" s="1846"/>
      <c r="V35" s="1064"/>
      <c r="W35" s="1005"/>
      <c r="X35" s="1005"/>
      <c r="Y35" s="1005"/>
      <c r="Z35" s="1005"/>
    </row>
    <row r="36" spans="1:26" s="1006" customFormat="1" ht="15.75">
      <c r="A36" s="1077"/>
      <c r="B36" s="1156" t="s">
        <v>1028</v>
      </c>
      <c r="C36" s="1157"/>
      <c r="D36" s="1158"/>
      <c r="E36" s="1007"/>
      <c r="F36" s="1159">
        <f>+IF($P$2=0,$P36,0)</f>
        <v>0</v>
      </c>
      <c r="G36" s="1160">
        <f>+IF($P$2=0,$Q36,0)</f>
        <v>0</v>
      </c>
      <c r="H36" s="1007"/>
      <c r="I36" s="1159">
        <f>+IF(OR($P$2=98,$P$2=42,$P$2=96,$P$2=97),$P36,0)</f>
        <v>0</v>
      </c>
      <c r="J36" s="1160">
        <f>+IF(OR($P$2=98,$P$2=42,$P$2=96,$P$2=97),$Q36,0)</f>
        <v>0</v>
      </c>
      <c r="K36" s="1083"/>
      <c r="L36" s="1160">
        <f>+IF($P$2=33,$Q36,0)</f>
        <v>0</v>
      </c>
      <c r="M36" s="1083"/>
      <c r="N36" s="1161">
        <f t="shared" si="6"/>
        <v>0</v>
      </c>
      <c r="O36" s="1085"/>
      <c r="P36" s="1159">
        <f>+ROUND(OTCHET!E120,0)</f>
        <v>0</v>
      </c>
      <c r="Q36" s="1160">
        <f>+ROUND(OTCHET!L120,0)</f>
        <v>0</v>
      </c>
      <c r="R36" s="1034"/>
      <c r="S36" s="1877" t="s">
        <v>1029</v>
      </c>
      <c r="T36" s="1878"/>
      <c r="U36" s="1879"/>
      <c r="V36" s="1064"/>
      <c r="W36" s="1005"/>
      <c r="X36" s="1005"/>
      <c r="Y36" s="1005"/>
      <c r="Z36" s="1005"/>
    </row>
    <row r="37" spans="1:26" s="1006" customFormat="1" ht="15.75">
      <c r="A37" s="1077"/>
      <c r="B37" s="1162" t="s">
        <v>1030</v>
      </c>
      <c r="C37" s="1163"/>
      <c r="D37" s="1164"/>
      <c r="E37" s="1007"/>
      <c r="F37" s="1165">
        <f>+IF($P$2=0,$P37,0)</f>
        <v>0</v>
      </c>
      <c r="G37" s="1166">
        <f>+IF($P$2=0,$Q37,0)</f>
        <v>0</v>
      </c>
      <c r="H37" s="1007"/>
      <c r="I37" s="1165">
        <f>+IF(OR($P$2=98,$P$2=42,$P$2=96,$P$2=97),$P37,0)</f>
        <v>0</v>
      </c>
      <c r="J37" s="1166">
        <f>+IF(OR($P$2=98,$P$2=42,$P$2=96,$P$2=97),$Q37,0)</f>
        <v>0</v>
      </c>
      <c r="K37" s="1083"/>
      <c r="L37" s="1166">
        <f>+IF($P$2=33,$Q37,0)</f>
        <v>0</v>
      </c>
      <c r="M37" s="1083"/>
      <c r="N37" s="1167">
        <f t="shared" si="6"/>
        <v>0</v>
      </c>
      <c r="O37" s="1085"/>
      <c r="P37" s="1165">
        <f>+ROUND(OTCHET!E121,0)</f>
        <v>0</v>
      </c>
      <c r="Q37" s="1166">
        <f>+ROUND(OTCHET!L121,0)</f>
        <v>0</v>
      </c>
      <c r="R37" s="1034"/>
      <c r="S37" s="1880" t="s">
        <v>1031</v>
      </c>
      <c r="T37" s="1881"/>
      <c r="U37" s="1882"/>
      <c r="V37" s="1064"/>
      <c r="W37" s="1005"/>
      <c r="X37" s="1005"/>
      <c r="Y37" s="1005"/>
      <c r="Z37" s="1005"/>
    </row>
    <row r="38" spans="1:26" s="1006" customFormat="1" ht="15.75">
      <c r="A38" s="1077"/>
      <c r="B38" s="1168" t="s">
        <v>1032</v>
      </c>
      <c r="C38" s="1169"/>
      <c r="D38" s="1170"/>
      <c r="E38" s="1007"/>
      <c r="F38" s="1171">
        <f>+IF($P$2=0,$P38,0)</f>
        <v>0</v>
      </c>
      <c r="G38" s="1172">
        <f>+IF($P$2=0,$Q38,0)</f>
        <v>0</v>
      </c>
      <c r="H38" s="1007"/>
      <c r="I38" s="1171">
        <f>+IF(OR($P$2=98,$P$2=42,$P$2=96,$P$2=97),$P38,0)</f>
        <v>0</v>
      </c>
      <c r="J38" s="1172">
        <f>+IF(OR($P$2=98,$P$2=42,$P$2=96,$P$2=97),$Q38,0)</f>
        <v>0</v>
      </c>
      <c r="K38" s="1083"/>
      <c r="L38" s="1172">
        <f>+IF($P$2=33,$Q38,0)</f>
        <v>0</v>
      </c>
      <c r="M38" s="1083"/>
      <c r="N38" s="1173">
        <f t="shared" si="6"/>
        <v>0</v>
      </c>
      <c r="O38" s="1085"/>
      <c r="P38" s="1171">
        <f>+ROUND(OTCHET!E122,0)</f>
        <v>0</v>
      </c>
      <c r="Q38" s="1172">
        <f>+ROUND(OTCHET!L122,0)</f>
        <v>0</v>
      </c>
      <c r="R38" s="1034"/>
      <c r="S38" s="1883" t="s">
        <v>1033</v>
      </c>
      <c r="T38" s="1884"/>
      <c r="U38" s="1885"/>
      <c r="V38" s="1064"/>
      <c r="W38" s="1005"/>
      <c r="X38" s="1005"/>
      <c r="Y38" s="1005"/>
      <c r="Z38" s="1005"/>
    </row>
    <row r="39" spans="1:26" s="1006" customFormat="1" ht="6" customHeight="1">
      <c r="A39" s="1077"/>
      <c r="B39" s="1174"/>
      <c r="C39" s="1175"/>
      <c r="D39" s="1176"/>
      <c r="E39" s="1007"/>
      <c r="F39" s="1089"/>
      <c r="G39" s="1090"/>
      <c r="H39" s="1007"/>
      <c r="I39" s="1089"/>
      <c r="J39" s="1090"/>
      <c r="K39" s="1083"/>
      <c r="L39" s="1090"/>
      <c r="M39" s="1083"/>
      <c r="N39" s="1120"/>
      <c r="O39" s="1085"/>
      <c r="P39" s="1089"/>
      <c r="Q39" s="1090"/>
      <c r="R39" s="1034"/>
      <c r="S39" s="1177"/>
      <c r="T39" s="1178"/>
      <c r="U39" s="1179"/>
      <c r="V39" s="1064"/>
      <c r="W39" s="1005"/>
      <c r="X39" s="1005"/>
      <c r="Y39" s="1005"/>
      <c r="Z39" s="1005"/>
    </row>
    <row r="40" spans="1:26" s="1006" customFormat="1" ht="15.75">
      <c r="A40" s="1077"/>
      <c r="B40" s="1110" t="s">
        <v>1034</v>
      </c>
      <c r="C40" s="1111"/>
      <c r="D40" s="1112"/>
      <c r="E40" s="1007"/>
      <c r="F40" s="1113">
        <f>+IF($P$2=0,$P40,0)</f>
        <v>0</v>
      </c>
      <c r="G40" s="1114">
        <f>+IF($P$2=0,$Q40,0)</f>
        <v>0</v>
      </c>
      <c r="H40" s="1007"/>
      <c r="I40" s="1113">
        <f>+IF(OR($P$2=98,$P$2=42,$P$2=96,$P$2=97),$P40,0)</f>
        <v>0</v>
      </c>
      <c r="J40" s="1114">
        <f>+IF(OR($P$2=98,$P$2=42,$P$2=96,$P$2=97),$Q40,0)</f>
        <v>0</v>
      </c>
      <c r="K40" s="1083"/>
      <c r="L40" s="1114">
        <f>+IF($P$2=33,$Q40,0)</f>
        <v>0</v>
      </c>
      <c r="M40" s="1083"/>
      <c r="N40" s="1115">
        <f t="shared" si="6"/>
        <v>0</v>
      </c>
      <c r="O40" s="1085"/>
      <c r="P40" s="1113">
        <f>+ROUND(OTCHET!E115+OTCHET!E116,0)</f>
        <v>0</v>
      </c>
      <c r="Q40" s="1114">
        <f>+ROUND(OTCHET!L115+OTCHET!L116,0)</f>
        <v>0</v>
      </c>
      <c r="R40" s="1034"/>
      <c r="S40" s="1844" t="s">
        <v>1035</v>
      </c>
      <c r="T40" s="1845"/>
      <c r="U40" s="1846"/>
      <c r="V40" s="1064"/>
      <c r="W40" s="1005"/>
      <c r="X40" s="1005"/>
      <c r="Y40" s="1005"/>
      <c r="Z40" s="1005"/>
    </row>
    <row r="41" spans="1:26" s="1006" customFormat="1" ht="15.75">
      <c r="A41" s="1077"/>
      <c r="B41" s="1086" t="s">
        <v>1036</v>
      </c>
      <c r="C41" s="1087"/>
      <c r="D41" s="1088"/>
      <c r="E41" s="1007"/>
      <c r="F41" s="1081"/>
      <c r="G41" s="1082"/>
      <c r="H41" s="1007"/>
      <c r="I41" s="1081"/>
      <c r="J41" s="1082"/>
      <c r="K41" s="1083"/>
      <c r="L41" s="1082"/>
      <c r="M41" s="1083"/>
      <c r="N41" s="1116"/>
      <c r="O41" s="1085"/>
      <c r="P41" s="1081"/>
      <c r="Q41" s="1082"/>
      <c r="R41" s="1034"/>
      <c r="S41" s="1086" t="s">
        <v>1036</v>
      </c>
      <c r="T41" s="1087"/>
      <c r="U41" s="1088"/>
      <c r="V41" s="1064"/>
      <c r="W41" s="1005"/>
      <c r="X41" s="1005"/>
      <c r="Y41" s="1005"/>
      <c r="Z41" s="1005"/>
    </row>
    <row r="42" spans="1:26" s="1006" customFormat="1" ht="15.75">
      <c r="A42" s="1077"/>
      <c r="B42" s="1092" t="s">
        <v>1037</v>
      </c>
      <c r="C42" s="1093"/>
      <c r="D42" s="1094"/>
      <c r="E42" s="1007"/>
      <c r="F42" s="1095">
        <f>+IF($P$2=0,$P42,0)</f>
        <v>0</v>
      </c>
      <c r="G42" s="1096">
        <f>+IF($P$2=0,$Q42,0)</f>
        <v>0</v>
      </c>
      <c r="H42" s="1007"/>
      <c r="I42" s="1095">
        <f>+IF(OR($P$2=98,$P$2=42,$P$2=96,$P$2=97),$P42,0)</f>
        <v>0</v>
      </c>
      <c r="J42" s="1096">
        <f>+IF(OR($P$2=98,$P$2=42,$P$2=96,$P$2=97),$Q42,0)</f>
        <v>0</v>
      </c>
      <c r="K42" s="1083"/>
      <c r="L42" s="1096">
        <f>+IF($P$2=33,$Q42,0)</f>
        <v>0</v>
      </c>
      <c r="M42" s="1083"/>
      <c r="N42" s="1097">
        <f>+ROUND(+G42+J42+L42,0)</f>
        <v>0</v>
      </c>
      <c r="O42" s="1085"/>
      <c r="P42" s="1095">
        <f>+ROUND(OTCHET!E141+OTCHET!E142+OTCHET!E159+OTCHET!E160,0)</f>
        <v>0</v>
      </c>
      <c r="Q42" s="1096">
        <f>+ROUND(OTCHET!L141+OTCHET!L142+OTCHET!L159+OTCHET!L160,0)</f>
        <v>0</v>
      </c>
      <c r="R42" s="1034"/>
      <c r="S42" s="1847" t="s">
        <v>1038</v>
      </c>
      <c r="T42" s="1848"/>
      <c r="U42" s="1849"/>
      <c r="V42" s="1064"/>
      <c r="W42" s="1005"/>
      <c r="X42" s="1005"/>
      <c r="Y42" s="1005"/>
      <c r="Z42" s="1005"/>
    </row>
    <row r="43" spans="1:26" s="1006" customFormat="1" ht="15.75">
      <c r="A43" s="1077"/>
      <c r="B43" s="1098" t="s">
        <v>1039</v>
      </c>
      <c r="C43" s="1099"/>
      <c r="D43" s="1100"/>
      <c r="E43" s="1007"/>
      <c r="F43" s="1101">
        <f>+IF($P$2=0,$P43,0)</f>
        <v>0</v>
      </c>
      <c r="G43" s="1102">
        <f>+IF($P$2=0,$Q43,0)</f>
        <v>0</v>
      </c>
      <c r="H43" s="1007"/>
      <c r="I43" s="1101">
        <f>+IF(OR($P$2=98,$P$2=42,$P$2=96,$P$2=97),$P43,0)</f>
        <v>0</v>
      </c>
      <c r="J43" s="1102">
        <f>+IF(OR($P$2=98,$P$2=42,$P$2=96,$P$2=97),$Q43,0)</f>
        <v>0</v>
      </c>
      <c r="K43" s="1083"/>
      <c r="L43" s="1102">
        <f>+IF($P$2=33,$Q43,0)</f>
        <v>0</v>
      </c>
      <c r="M43" s="1083"/>
      <c r="N43" s="1103">
        <f>+ROUND(+G43+J43+L43,0)</f>
        <v>0</v>
      </c>
      <c r="O43" s="1085"/>
      <c r="P43" s="1101">
        <f>+ROUND(+SUM(OTCHET!E143:E148)+SUM(OTCHET!E161:E166),0)</f>
        <v>0</v>
      </c>
      <c r="Q43" s="1102">
        <f>+ROUND(+SUM(OTCHET!L143:L148)+SUM(OTCHET!L161:L166),0)</f>
        <v>0</v>
      </c>
      <c r="R43" s="1034"/>
      <c r="S43" s="1850" t="s">
        <v>1040</v>
      </c>
      <c r="T43" s="1851"/>
      <c r="U43" s="1852"/>
      <c r="V43" s="1064"/>
      <c r="W43" s="1005"/>
      <c r="X43" s="1005"/>
      <c r="Y43" s="1005"/>
      <c r="Z43" s="1005"/>
    </row>
    <row r="44" spans="1:26" s="1006" customFormat="1" ht="15.75">
      <c r="A44" s="1077"/>
      <c r="B44" s="1098" t="s">
        <v>2043</v>
      </c>
      <c r="C44" s="1099"/>
      <c r="D44" s="1100"/>
      <c r="E44" s="1007"/>
      <c r="F44" s="1101">
        <f>+IF($P$2=0,$P44,0)</f>
        <v>0</v>
      </c>
      <c r="G44" s="1102">
        <f>+IF($P$2=0,$Q44,0)</f>
        <v>0</v>
      </c>
      <c r="H44" s="1007"/>
      <c r="I44" s="1101">
        <f>+IF(OR($P$2=98,$P$2=42,$P$2=96,$P$2=97),$P44,0)</f>
        <v>0</v>
      </c>
      <c r="J44" s="1102">
        <f>+IF(OR($P$2=98,$P$2=42,$P$2=96,$P$2=97),$Q44,0)</f>
        <v>0</v>
      </c>
      <c r="K44" s="1083"/>
      <c r="L44" s="1102">
        <f>+IF($P$2=33,$Q44,0)</f>
        <v>0</v>
      </c>
      <c r="M44" s="1083"/>
      <c r="N44" s="1103">
        <f>+ROUND(+G44+J44+L44,0)</f>
        <v>0</v>
      </c>
      <c r="O44" s="1085"/>
      <c r="P44" s="1101">
        <f>+ROUND(OTCHET!E149,0)</f>
        <v>0</v>
      </c>
      <c r="Q44" s="1102">
        <f>+ROUND(OTCHET!L149,0)</f>
        <v>0</v>
      </c>
      <c r="R44" s="1034"/>
      <c r="S44" s="1850" t="s">
        <v>1041</v>
      </c>
      <c r="T44" s="1851"/>
      <c r="U44" s="1852"/>
      <c r="V44" s="1064"/>
      <c r="W44" s="1005"/>
      <c r="X44" s="1005"/>
      <c r="Y44" s="1005"/>
      <c r="Z44" s="1005"/>
    </row>
    <row r="45" spans="1:26" s="1006" customFormat="1" ht="15.75">
      <c r="A45" s="1077"/>
      <c r="B45" s="1104" t="s">
        <v>1042</v>
      </c>
      <c r="C45" s="1105"/>
      <c r="D45" s="1106"/>
      <c r="E45" s="1007"/>
      <c r="F45" s="1107">
        <f>+IF($P$2=0,$P45,0)</f>
        <v>0</v>
      </c>
      <c r="G45" s="1108">
        <f>+IF($P$2=0,$Q45,0)</f>
        <v>0</v>
      </c>
      <c r="H45" s="1007"/>
      <c r="I45" s="1107">
        <f>+IF(OR($P$2=98,$P$2=42,$P$2=96,$P$2=97),$P45,0)</f>
        <v>0</v>
      </c>
      <c r="J45" s="1108">
        <f>+IF(OR($P$2=98,$P$2=42,$P$2=96,$P$2=97),$Q45,0)</f>
        <v>0</v>
      </c>
      <c r="K45" s="1083"/>
      <c r="L45" s="1108">
        <f>+IF($P$2=33,$Q45,0)</f>
        <v>0</v>
      </c>
      <c r="M45" s="1083"/>
      <c r="N45" s="1109">
        <f>+ROUND(+G45+J45+L45,0)</f>
        <v>0</v>
      </c>
      <c r="O45" s="1085"/>
      <c r="P45" s="1107">
        <f>+ROUND(OTCHET!E137,0)</f>
        <v>0</v>
      </c>
      <c r="Q45" s="1108">
        <f>+ROUND(OTCHET!L137,0)</f>
        <v>0</v>
      </c>
      <c r="R45" s="1034"/>
      <c r="S45" s="1874" t="s">
        <v>1043</v>
      </c>
      <c r="T45" s="1875"/>
      <c r="U45" s="1876"/>
      <c r="V45" s="1064"/>
      <c r="W45" s="1005"/>
      <c r="X45" s="1005"/>
      <c r="Y45" s="1005"/>
      <c r="Z45" s="1005"/>
    </row>
    <row r="46" spans="1:26" s="1006" customFormat="1" ht="15.75">
      <c r="A46" s="1077"/>
      <c r="B46" s="1110" t="s">
        <v>1044</v>
      </c>
      <c r="C46" s="1111"/>
      <c r="D46" s="1112"/>
      <c r="E46" s="1007"/>
      <c r="F46" s="1113">
        <f>+ROUND(+SUM(F42:F45),0)</f>
        <v>0</v>
      </c>
      <c r="G46" s="1114">
        <f>+ROUND(+SUM(G42:G45),0)</f>
        <v>0</v>
      </c>
      <c r="H46" s="1007"/>
      <c r="I46" s="1113">
        <f>+ROUND(+SUM(I42:I45),0)</f>
        <v>0</v>
      </c>
      <c r="J46" s="1114">
        <f>+ROUND(+SUM(J42:J45),0)</f>
        <v>0</v>
      </c>
      <c r="K46" s="1083"/>
      <c r="L46" s="1114">
        <f>+ROUND(+SUM(L42:L45),0)</f>
        <v>0</v>
      </c>
      <c r="M46" s="1083"/>
      <c r="N46" s="1115">
        <f>+ROUND(+SUM(N42:N45),0)</f>
        <v>0</v>
      </c>
      <c r="O46" s="1085"/>
      <c r="P46" s="1113">
        <f>+ROUND(+SUM(P42:P45),0)</f>
        <v>0</v>
      </c>
      <c r="Q46" s="1114">
        <f>+ROUND(+SUM(Q42:Q45),0)</f>
        <v>0</v>
      </c>
      <c r="R46" s="1034"/>
      <c r="S46" s="1844" t="s">
        <v>1045</v>
      </c>
      <c r="T46" s="1845"/>
      <c r="U46" s="1846"/>
      <c r="V46" s="1064"/>
      <c r="W46" s="1005"/>
      <c r="X46" s="1005"/>
      <c r="Y46" s="1005"/>
      <c r="Z46" s="1005"/>
    </row>
    <row r="47" spans="1:26" s="1006" customFormat="1" ht="6" customHeight="1">
      <c r="A47" s="1077"/>
      <c r="B47" s="1180"/>
      <c r="C47" s="1118"/>
      <c r="D47" s="1119"/>
      <c r="E47" s="1007"/>
      <c r="F47" s="1095"/>
      <c r="G47" s="1096"/>
      <c r="H47" s="1007"/>
      <c r="I47" s="1095"/>
      <c r="J47" s="1096"/>
      <c r="K47" s="1083"/>
      <c r="L47" s="1096"/>
      <c r="M47" s="1083"/>
      <c r="N47" s="1097"/>
      <c r="O47" s="1085"/>
      <c r="P47" s="1095"/>
      <c r="Q47" s="1096"/>
      <c r="R47" s="1034"/>
      <c r="S47" s="1181"/>
      <c r="T47" s="1182"/>
      <c r="U47" s="1183"/>
      <c r="V47" s="1064"/>
      <c r="W47" s="1005"/>
      <c r="X47" s="1005"/>
      <c r="Y47" s="1005"/>
      <c r="Z47" s="1005"/>
    </row>
    <row r="48" spans="1:26" s="1006" customFormat="1" ht="16.5" thickBot="1">
      <c r="A48" s="1077"/>
      <c r="B48" s="1184" t="s">
        <v>1046</v>
      </c>
      <c r="C48" s="1185"/>
      <c r="D48" s="1186"/>
      <c r="E48" s="1007"/>
      <c r="F48" s="1187">
        <f>+ROUND(F23+F28+F35+F40+F46,0)</f>
        <v>0</v>
      </c>
      <c r="G48" s="1188">
        <f>+ROUND(G23+G28+G35+G40+G46,0)</f>
        <v>0</v>
      </c>
      <c r="H48" s="1007"/>
      <c r="I48" s="1187">
        <f>+ROUND(I23+I28+I35+I40+I46,0)</f>
        <v>0</v>
      </c>
      <c r="J48" s="1188">
        <f>+ROUND(J23+J28+J35+J40+J46,0)</f>
        <v>0</v>
      </c>
      <c r="K48" s="1083"/>
      <c r="L48" s="1188">
        <f>+ROUND(L23+L28+L35+L40+L46,0)</f>
        <v>0</v>
      </c>
      <c r="M48" s="1083"/>
      <c r="N48" s="1189">
        <f>+ROUND(N23+N28+N35+N40+N46,0)</f>
        <v>0</v>
      </c>
      <c r="O48" s="1190"/>
      <c r="P48" s="1187">
        <f>+ROUND(P23+P28+P35+P40+P46,0)</f>
        <v>0</v>
      </c>
      <c r="Q48" s="1188">
        <f>+ROUND(Q23+Q28+Q35+Q40+Q46,0)</f>
        <v>0</v>
      </c>
      <c r="R48" s="1034"/>
      <c r="S48" s="1862" t="s">
        <v>1047</v>
      </c>
      <c r="T48" s="1863"/>
      <c r="U48" s="1864"/>
      <c r="V48" s="1064"/>
      <c r="W48" s="1005"/>
      <c r="X48" s="1005"/>
      <c r="Y48" s="1005"/>
      <c r="Z48" s="1005"/>
    </row>
    <row r="49" spans="1:26" s="1006" customFormat="1" ht="15.75">
      <c r="A49" s="1077"/>
      <c r="B49" s="1078" t="s">
        <v>1048</v>
      </c>
      <c r="C49" s="1079"/>
      <c r="D49" s="1080"/>
      <c r="E49" s="1007"/>
      <c r="F49" s="1089"/>
      <c r="G49" s="1090"/>
      <c r="H49" s="1007"/>
      <c r="I49" s="1089"/>
      <c r="J49" s="1090"/>
      <c r="K49" s="1083"/>
      <c r="L49" s="1090"/>
      <c r="M49" s="1083"/>
      <c r="N49" s="1120"/>
      <c r="O49" s="1085"/>
      <c r="P49" s="1089"/>
      <c r="Q49" s="1090"/>
      <c r="R49" s="1034"/>
      <c r="S49" s="1078" t="s">
        <v>1048</v>
      </c>
      <c r="T49" s="1079"/>
      <c r="U49" s="1080"/>
      <c r="V49" s="1064"/>
      <c r="W49" s="1005"/>
      <c r="X49" s="1005"/>
      <c r="Y49" s="1005"/>
      <c r="Z49" s="1005"/>
    </row>
    <row r="50" spans="1:26" s="1006" customFormat="1" ht="15.75">
      <c r="A50" s="1077"/>
      <c r="B50" s="1086" t="s">
        <v>1049</v>
      </c>
      <c r="C50" s="1087"/>
      <c r="D50" s="1088"/>
      <c r="E50" s="1191"/>
      <c r="F50" s="1089"/>
      <c r="G50" s="1090"/>
      <c r="H50" s="1007"/>
      <c r="I50" s="1089"/>
      <c r="J50" s="1090"/>
      <c r="K50" s="1083"/>
      <c r="L50" s="1090"/>
      <c r="M50" s="1083"/>
      <c r="N50" s="1120"/>
      <c r="O50" s="1085"/>
      <c r="P50" s="1089"/>
      <c r="Q50" s="1090"/>
      <c r="R50" s="1034"/>
      <c r="S50" s="1086" t="s">
        <v>1049</v>
      </c>
      <c r="T50" s="1087"/>
      <c r="U50" s="1088"/>
      <c r="V50" s="1064"/>
      <c r="W50" s="1005"/>
      <c r="X50" s="1005"/>
      <c r="Y50" s="1005"/>
      <c r="Z50" s="1005"/>
    </row>
    <row r="51" spans="1:26" s="1006" customFormat="1" ht="15.75">
      <c r="A51" s="1077"/>
      <c r="B51" s="1092" t="s">
        <v>1050</v>
      </c>
      <c r="C51" s="1093"/>
      <c r="D51" s="1094"/>
      <c r="E51" s="1191"/>
      <c r="F51" s="1089">
        <f>+IF($P$2=0,$P51,0)</f>
        <v>0</v>
      </c>
      <c r="G51" s="1090">
        <f>+IF($P$2=0,$Q51,0)</f>
        <v>146567</v>
      </c>
      <c r="H51" s="1007"/>
      <c r="I51" s="1089">
        <f>+IF(OR($P$2=98,$P$2=42,$P$2=96,$P$2=97),$P51,0)</f>
        <v>0</v>
      </c>
      <c r="J51" s="1090">
        <f>+IF(OR($P$2=98,$P$2=42,$P$2=96,$P$2=97),$Q51,0)</f>
        <v>0</v>
      </c>
      <c r="K51" s="1083"/>
      <c r="L51" s="1090">
        <f>+IF($P$2=33,$Q51,0)</f>
        <v>0</v>
      </c>
      <c r="M51" s="1083"/>
      <c r="N51" s="1120">
        <f>+ROUND(+G51+J51+L51,0)</f>
        <v>146567</v>
      </c>
      <c r="O51" s="1085"/>
      <c r="P51" s="1089">
        <f>+ROUND(OTCHET!E205-SUM(OTCHET!E217:E219)+OTCHET!E274+IF(+OR(OTCHET!$F$12=5500,OTCHET!$F$12=5600),0,+OTCHET!E300),0)</f>
        <v>0</v>
      </c>
      <c r="Q51" s="1090">
        <f>+ROUND(OTCHET!L205-SUM(OTCHET!L217:L219)+OTCHET!L274+IF(+OR(OTCHET!$F$12=5500,OTCHET!$F$12=5600),0,+OTCHET!L300),0)</f>
        <v>146567</v>
      </c>
      <c r="R51" s="1034"/>
      <c r="S51" s="1847" t="s">
        <v>1051</v>
      </c>
      <c r="T51" s="1848"/>
      <c r="U51" s="1849"/>
      <c r="V51" s="1064"/>
      <c r="W51" s="1005"/>
      <c r="X51" s="1005"/>
      <c r="Y51" s="1005"/>
      <c r="Z51" s="1005"/>
    </row>
    <row r="52" spans="1:26" s="1006" customFormat="1" ht="15.75">
      <c r="A52" s="1077"/>
      <c r="B52" s="1098" t="s">
        <v>1052</v>
      </c>
      <c r="C52" s="1099"/>
      <c r="D52" s="1100"/>
      <c r="E52" s="1007"/>
      <c r="F52" s="1107">
        <f>+IF($P$2=0,$P52,0)</f>
        <v>0</v>
      </c>
      <c r="G52" s="1108">
        <f>+IF($P$2=0,$Q52,0)</f>
        <v>0</v>
      </c>
      <c r="H52" s="1007"/>
      <c r="I52" s="1107">
        <f>+IF(OR($P$2=98,$P$2=42,$P$2=96,$P$2=97),$P52,0)</f>
        <v>0</v>
      </c>
      <c r="J52" s="1108">
        <f>+IF(OR($P$2=98,$P$2=42,$P$2=96,$P$2=97),$Q52,0)</f>
        <v>0</v>
      </c>
      <c r="K52" s="1083"/>
      <c r="L52" s="1108">
        <f>+IF($P$2=33,$Q52,0)</f>
        <v>0</v>
      </c>
      <c r="M52" s="1083"/>
      <c r="N52" s="1109">
        <f>+ROUND(+G52+J52+L52,0)</f>
        <v>0</v>
      </c>
      <c r="O52" s="1085"/>
      <c r="P52" s="1107">
        <f>+ROUND(+SUM(OTCHET!E217:E219),0)</f>
        <v>0</v>
      </c>
      <c r="Q52" s="1108">
        <f>+ROUND(+SUM(OTCHET!L217:L219),0)</f>
        <v>0</v>
      </c>
      <c r="R52" s="1034"/>
      <c r="S52" s="1850" t="s">
        <v>1053</v>
      </c>
      <c r="T52" s="1851"/>
      <c r="U52" s="1852"/>
      <c r="V52" s="1064"/>
      <c r="W52" s="1005"/>
      <c r="X52" s="1005"/>
      <c r="Y52" s="1005"/>
      <c r="Z52" s="1005"/>
    </row>
    <row r="53" spans="1:26" s="1006" customFormat="1" ht="15.75">
      <c r="A53" s="1077"/>
      <c r="B53" s="1098" t="s">
        <v>1054</v>
      </c>
      <c r="C53" s="1099"/>
      <c r="D53" s="1100"/>
      <c r="E53" s="1007"/>
      <c r="F53" s="1107">
        <f>+IF($P$2=0,$P53,0)</f>
        <v>0</v>
      </c>
      <c r="G53" s="1108">
        <f>+IF($P$2=0,$Q53,0)</f>
        <v>0</v>
      </c>
      <c r="H53" s="1007"/>
      <c r="I53" s="1107">
        <f>+IF(OR($P$2=98,$P$2=42,$P$2=96,$P$2=97),$P53,0)</f>
        <v>0</v>
      </c>
      <c r="J53" s="1108">
        <f>+IF(OR($P$2=98,$P$2=42,$P$2=96,$P$2=97),$Q53,0)</f>
        <v>0</v>
      </c>
      <c r="K53" s="1083"/>
      <c r="L53" s="1108">
        <f>+IF($P$2=33,$Q53,0)</f>
        <v>0</v>
      </c>
      <c r="M53" s="1083"/>
      <c r="N53" s="1109">
        <f>+ROUND(+G53+J53+L53,0)</f>
        <v>0</v>
      </c>
      <c r="O53" s="1085"/>
      <c r="P53" s="1107">
        <f>+ROUND(OTCHET!E223,0)</f>
        <v>0</v>
      </c>
      <c r="Q53" s="1108">
        <f>+ROUND(OTCHET!L223,0)</f>
        <v>0</v>
      </c>
      <c r="R53" s="1034"/>
      <c r="S53" s="1850" t="s">
        <v>1055</v>
      </c>
      <c r="T53" s="1851"/>
      <c r="U53" s="1852"/>
      <c r="V53" s="1064"/>
      <c r="W53" s="1005"/>
      <c r="X53" s="1005"/>
      <c r="Y53" s="1005"/>
      <c r="Z53" s="1005"/>
    </row>
    <row r="54" spans="1:26" s="1006" customFormat="1" ht="15.75">
      <c r="A54" s="1077"/>
      <c r="B54" s="1098" t="s">
        <v>1056</v>
      </c>
      <c r="C54" s="1099"/>
      <c r="D54" s="1100"/>
      <c r="E54" s="1007"/>
      <c r="F54" s="1107">
        <f>+IF($P$2=0,$P54,0)</f>
        <v>0</v>
      </c>
      <c r="G54" s="1108">
        <f>+IF($P$2=0,$Q54,0)</f>
        <v>726564</v>
      </c>
      <c r="H54" s="1007"/>
      <c r="I54" s="1107">
        <f>+IF(OR($P$2=98,$P$2=42,$P$2=96,$P$2=97),$P54,0)</f>
        <v>0</v>
      </c>
      <c r="J54" s="1108">
        <f>+IF(OR($P$2=98,$P$2=42,$P$2=96,$P$2=97),$Q54,0)</f>
        <v>0</v>
      </c>
      <c r="K54" s="1083"/>
      <c r="L54" s="1108">
        <f>+IF($P$2=33,$Q54,0)</f>
        <v>0</v>
      </c>
      <c r="M54" s="1083"/>
      <c r="N54" s="1109">
        <f>+ROUND(+G54+J54+L54,0)</f>
        <v>726564</v>
      </c>
      <c r="O54" s="1085"/>
      <c r="P54" s="1107">
        <f>+ROUND(OTCHET!E187+OTCHET!E190,0)</f>
        <v>0</v>
      </c>
      <c r="Q54" s="1108">
        <f>+ROUND(OTCHET!L187+OTCHET!L190,0)</f>
        <v>726564</v>
      </c>
      <c r="R54" s="1034"/>
      <c r="S54" s="1850" t="s">
        <v>1057</v>
      </c>
      <c r="T54" s="1851"/>
      <c r="U54" s="1852"/>
      <c r="V54" s="1064"/>
      <c r="W54" s="1005"/>
      <c r="X54" s="1005"/>
      <c r="Y54" s="1005"/>
      <c r="Z54" s="1005"/>
    </row>
    <row r="55" spans="1:26" s="1006" customFormat="1" ht="15.75">
      <c r="A55" s="1077"/>
      <c r="B55" s="1104" t="s">
        <v>1058</v>
      </c>
      <c r="C55" s="1105"/>
      <c r="D55" s="1106"/>
      <c r="E55" s="1007"/>
      <c r="F55" s="1107">
        <f>+IF($P$2=0,$P55,0)</f>
        <v>0</v>
      </c>
      <c r="G55" s="1108">
        <f>+IF($P$2=0,$Q55,0)</f>
        <v>170033</v>
      </c>
      <c r="H55" s="1007"/>
      <c r="I55" s="1107">
        <f>+IF(OR($P$2=98,$P$2=42,$P$2=96,$P$2=97),$P55,0)</f>
        <v>0</v>
      </c>
      <c r="J55" s="1108">
        <f>+IF(OR($P$2=98,$P$2=42,$P$2=96,$P$2=97),$Q55,0)</f>
        <v>0</v>
      </c>
      <c r="K55" s="1083"/>
      <c r="L55" s="1108">
        <f>+IF($P$2=33,$Q55,0)</f>
        <v>0</v>
      </c>
      <c r="M55" s="1083"/>
      <c r="N55" s="1109">
        <f>+ROUND(+G55+J55+L55,0)</f>
        <v>170033</v>
      </c>
      <c r="O55" s="1085"/>
      <c r="P55" s="1107">
        <f>+ROUND(OTCHET!E196+OTCHET!E204,0)</f>
        <v>0</v>
      </c>
      <c r="Q55" s="1108">
        <f>+ROUND(OTCHET!L196+OTCHET!L204,0)</f>
        <v>170033</v>
      </c>
      <c r="R55" s="1034"/>
      <c r="S55" s="1874" t="s">
        <v>1059</v>
      </c>
      <c r="T55" s="1875"/>
      <c r="U55" s="1876"/>
      <c r="V55" s="1064"/>
      <c r="W55" s="1005"/>
      <c r="X55" s="1005"/>
      <c r="Y55" s="1005"/>
      <c r="Z55" s="1005"/>
    </row>
    <row r="56" spans="1:26" s="1006" customFormat="1" ht="15.75">
      <c r="A56" s="1077"/>
      <c r="B56" s="1192" t="s">
        <v>1060</v>
      </c>
      <c r="C56" s="1193"/>
      <c r="D56" s="1194"/>
      <c r="E56" s="1007"/>
      <c r="F56" s="1195">
        <f>+ROUND(+SUM(F51:F55),0)</f>
        <v>0</v>
      </c>
      <c r="G56" s="1196">
        <f>+ROUND(+SUM(G51:G55),0)</f>
        <v>1043164</v>
      </c>
      <c r="H56" s="1007"/>
      <c r="I56" s="1195">
        <f>+ROUND(+SUM(I51:I55),0)</f>
        <v>0</v>
      </c>
      <c r="J56" s="1196">
        <f>+ROUND(+SUM(J51:J55),0)</f>
        <v>0</v>
      </c>
      <c r="K56" s="1083"/>
      <c r="L56" s="1196">
        <f>+ROUND(+SUM(L51:L55),0)</f>
        <v>0</v>
      </c>
      <c r="M56" s="1083"/>
      <c r="N56" s="1197">
        <f>+ROUND(+SUM(N51:N55),0)</f>
        <v>1043164</v>
      </c>
      <c r="O56" s="1085"/>
      <c r="P56" s="1195">
        <f>+ROUND(+SUM(P51:P55),0)</f>
        <v>0</v>
      </c>
      <c r="Q56" s="1196">
        <f>+ROUND(+SUM(Q51:Q55),0)</f>
        <v>1043164</v>
      </c>
      <c r="R56" s="1034"/>
      <c r="S56" s="1844" t="s">
        <v>1061</v>
      </c>
      <c r="T56" s="1845"/>
      <c r="U56" s="1846"/>
      <c r="V56" s="1064"/>
      <c r="W56" s="1005"/>
      <c r="X56" s="1005"/>
      <c r="Y56" s="1005"/>
      <c r="Z56" s="1005"/>
    </row>
    <row r="57" spans="1:26" s="1006" customFormat="1" ht="15.75">
      <c r="A57" s="1077"/>
      <c r="B57" s="1086" t="s">
        <v>1062</v>
      </c>
      <c r="C57" s="1087"/>
      <c r="D57" s="1088"/>
      <c r="E57" s="1191"/>
      <c r="F57" s="1089"/>
      <c r="G57" s="1090"/>
      <c r="H57" s="1007"/>
      <c r="I57" s="1089"/>
      <c r="J57" s="1090"/>
      <c r="K57" s="1083"/>
      <c r="L57" s="1090"/>
      <c r="M57" s="1083"/>
      <c r="N57" s="1120"/>
      <c r="O57" s="1085"/>
      <c r="P57" s="1089"/>
      <c r="Q57" s="1090"/>
      <c r="R57" s="1034"/>
      <c r="S57" s="1086" t="s">
        <v>1062</v>
      </c>
      <c r="T57" s="1087"/>
      <c r="U57" s="1088"/>
      <c r="V57" s="1064"/>
      <c r="W57" s="1005"/>
      <c r="X57" s="1005"/>
      <c r="Y57" s="1005"/>
      <c r="Z57" s="1005"/>
    </row>
    <row r="58" spans="1:26" s="1006" customFormat="1" ht="15.75">
      <c r="A58" s="1077"/>
      <c r="B58" s="1092" t="s">
        <v>1063</v>
      </c>
      <c r="C58" s="1093"/>
      <c r="D58" s="1094"/>
      <c r="E58" s="1191"/>
      <c r="F58" s="1089">
        <f>+IF($P$2=0,$P58,0)</f>
        <v>0</v>
      </c>
      <c r="G58" s="1090">
        <f>+IF($P$2=0,$Q58,0)</f>
        <v>0</v>
      </c>
      <c r="H58" s="1007"/>
      <c r="I58" s="1089">
        <f>+IF(OR($P$2=98,$P$2=42,$P$2=96,$P$2=97),$P58,0)</f>
        <v>0</v>
      </c>
      <c r="J58" s="1090">
        <f>+IF(OR($P$2=98,$P$2=42,$P$2=96,$P$2=97),$Q58,0)</f>
        <v>0</v>
      </c>
      <c r="K58" s="1083"/>
      <c r="L58" s="1090">
        <f>+IF($P$2=33,$Q58,0)</f>
        <v>0</v>
      </c>
      <c r="M58" s="1083"/>
      <c r="N58" s="1120">
        <f>+ROUND(+G58+J58+L58,0)</f>
        <v>0</v>
      </c>
      <c r="O58" s="1085"/>
      <c r="P58" s="1089">
        <f>+ROUND(OTCHET!E290,0)</f>
        <v>0</v>
      </c>
      <c r="Q58" s="1090">
        <f>+ROUND(OTCHET!L290,0)</f>
        <v>0</v>
      </c>
      <c r="R58" s="1034"/>
      <c r="S58" s="1847" t="s">
        <v>1064</v>
      </c>
      <c r="T58" s="1848"/>
      <c r="U58" s="1849"/>
      <c r="V58" s="1064"/>
      <c r="W58" s="1005"/>
      <c r="X58" s="1005"/>
      <c r="Y58" s="1005"/>
      <c r="Z58" s="1005"/>
    </row>
    <row r="59" spans="1:26" s="1006" customFormat="1" ht="15.75">
      <c r="A59" s="1077"/>
      <c r="B59" s="1098" t="s">
        <v>1065</v>
      </c>
      <c r="C59" s="1099"/>
      <c r="D59" s="1100"/>
      <c r="E59" s="1007"/>
      <c r="F59" s="1107">
        <f>+IF($P$2=0,$P59,0)</f>
        <v>0</v>
      </c>
      <c r="G59" s="1108">
        <f>+IF($P$2=0,$Q59,0)</f>
        <v>4900</v>
      </c>
      <c r="H59" s="1007"/>
      <c r="I59" s="1107">
        <f>+IF(OR($P$2=98,$P$2=42,$P$2=96,$P$2=97),$P59,0)</f>
        <v>0</v>
      </c>
      <c r="J59" s="1108">
        <f>+IF(OR($P$2=98,$P$2=42,$P$2=96,$P$2=97),$Q59,0)</f>
        <v>0</v>
      </c>
      <c r="K59" s="1083"/>
      <c r="L59" s="1108">
        <f>+IF($P$2=33,$Q59,0)</f>
        <v>0</v>
      </c>
      <c r="M59" s="1083"/>
      <c r="N59" s="1109">
        <f>+ROUND(+G59+J59+L59,0)</f>
        <v>4900</v>
      </c>
      <c r="O59" s="1085"/>
      <c r="P59" s="1107">
        <f>+ROUND(+OTCHET!E278+OTCHET!E279,0)</f>
        <v>0</v>
      </c>
      <c r="Q59" s="1108">
        <f>+ROUND(+OTCHET!L278+OTCHET!L279,0)</f>
        <v>4900</v>
      </c>
      <c r="R59" s="1034"/>
      <c r="S59" s="1850" t="s">
        <v>1066</v>
      </c>
      <c r="T59" s="1851"/>
      <c r="U59" s="1852"/>
      <c r="V59" s="1064"/>
      <c r="W59" s="1005"/>
      <c r="X59" s="1005"/>
      <c r="Y59" s="1005"/>
      <c r="Z59" s="1005"/>
    </row>
    <row r="60" spans="1:26" s="1006" customFormat="1" ht="15.75">
      <c r="A60" s="1077"/>
      <c r="B60" s="1098" t="s">
        <v>1067</v>
      </c>
      <c r="C60" s="1099"/>
      <c r="D60" s="1100"/>
      <c r="E60" s="1007"/>
      <c r="F60" s="1107">
        <f>+IF($P$2=0,$P60,0)</f>
        <v>0</v>
      </c>
      <c r="G60" s="1108">
        <f>+IF($P$2=0,$Q60,0)</f>
        <v>0</v>
      </c>
      <c r="H60" s="1007"/>
      <c r="I60" s="1107">
        <f>+IF(OR($P$2=98,$P$2=42,$P$2=96,$P$2=97),$P60,0)</f>
        <v>0</v>
      </c>
      <c r="J60" s="1108">
        <f>+IF(OR($P$2=98,$P$2=42,$P$2=96,$P$2=97),$Q60,0)</f>
        <v>0</v>
      </c>
      <c r="K60" s="1083"/>
      <c r="L60" s="1108">
        <f>+IF($P$2=33,$Q60,0)</f>
        <v>0</v>
      </c>
      <c r="M60" s="1083"/>
      <c r="N60" s="1109">
        <f>+ROUND(+G60+J60+L60,0)</f>
        <v>0</v>
      </c>
      <c r="O60" s="1085"/>
      <c r="P60" s="1107">
        <f>+ROUND(OTCHET!E287,0)</f>
        <v>0</v>
      </c>
      <c r="Q60" s="1108">
        <f>+ROUND(OTCHET!L287,0)</f>
        <v>0</v>
      </c>
      <c r="R60" s="1034"/>
      <c r="S60" s="1850" t="s">
        <v>1068</v>
      </c>
      <c r="T60" s="1851"/>
      <c r="U60" s="1852"/>
      <c r="V60" s="1064"/>
      <c r="W60" s="1005"/>
      <c r="X60" s="1005"/>
      <c r="Y60" s="1005"/>
      <c r="Z60" s="1005"/>
    </row>
    <row r="61" spans="1:26" s="1006" customFormat="1" ht="15.75">
      <c r="A61" s="1077"/>
      <c r="B61" s="1104" t="s">
        <v>1069</v>
      </c>
      <c r="C61" s="1105"/>
      <c r="D61" s="1106"/>
      <c r="E61" s="1007"/>
      <c r="F61" s="1198">
        <f>+IF($P$2=0,$P61,0)</f>
        <v>0</v>
      </c>
      <c r="G61" s="1199">
        <f>+IF($P$2=0,$Q61,0)</f>
        <v>0</v>
      </c>
      <c r="H61" s="1007"/>
      <c r="I61" s="1198">
        <f>+IF(OR($P$2=98,$P$2=42,$P$2=96,$P$2=97),$P61,0)</f>
        <v>0</v>
      </c>
      <c r="J61" s="1199">
        <f>+IF(OR($P$2=98,$P$2=42,$P$2=96,$P$2=97),$Q61,0)</f>
        <v>0</v>
      </c>
      <c r="K61" s="1083"/>
      <c r="L61" s="1199">
        <f>+IF($P$2=33,$Q61,0)</f>
        <v>0</v>
      </c>
      <c r="M61" s="1083"/>
      <c r="N61" s="1200">
        <f>+ROUND(+G61+J61+L61,0)</f>
        <v>0</v>
      </c>
      <c r="O61" s="1085"/>
      <c r="P61" s="1198">
        <f>+ROUND(OTCHET!E296,0)</f>
        <v>0</v>
      </c>
      <c r="Q61" s="1199">
        <f>+ROUND(OTCHET!L296,0)</f>
        <v>0</v>
      </c>
      <c r="R61" s="1034"/>
      <c r="S61" s="1874" t="s">
        <v>1070</v>
      </c>
      <c r="T61" s="1875"/>
      <c r="U61" s="1876"/>
      <c r="V61" s="1064"/>
      <c r="W61" s="1005"/>
      <c r="X61" s="1005"/>
      <c r="Y61" s="1005"/>
      <c r="Z61" s="1005"/>
    </row>
    <row r="62" spans="1:26" s="1006" customFormat="1" ht="15.75">
      <c r="A62" s="1077"/>
      <c r="B62" s="1201" t="s">
        <v>1071</v>
      </c>
      <c r="C62" s="1202"/>
      <c r="D62" s="1203"/>
      <c r="E62" s="1007"/>
      <c r="F62" s="1204">
        <f>+IF($P$2=0,$P62,0)</f>
        <v>0</v>
      </c>
      <c r="G62" s="1205">
        <f>+IF($P$2=0,$Q62,0)</f>
        <v>0</v>
      </c>
      <c r="H62" s="1007"/>
      <c r="I62" s="1204">
        <f>+IF(OR($P$2=98,$P$2=42,$P$2=96,$P$2=97),$P62,0)</f>
        <v>0</v>
      </c>
      <c r="J62" s="1205">
        <f>+IF(OR($P$2=98,$P$2=42,$P$2=96,$P$2=97),$Q62,0)</f>
        <v>0</v>
      </c>
      <c r="K62" s="1083"/>
      <c r="L62" s="1205">
        <f>+IF($P$2=33,$Q62,0)</f>
        <v>0</v>
      </c>
      <c r="M62" s="1083"/>
      <c r="N62" s="1206">
        <f>+ROUND(+G62+J62+L62,0)</f>
        <v>0</v>
      </c>
      <c r="O62" s="1085"/>
      <c r="P62" s="1204">
        <f>+ROUND(OTCHET!E299,0)</f>
        <v>0</v>
      </c>
      <c r="Q62" s="1205">
        <f>+ROUND(OTCHET!L299,0)</f>
        <v>0</v>
      </c>
      <c r="R62" s="1034"/>
      <c r="S62" s="1207" t="s">
        <v>1072</v>
      </c>
      <c r="T62" s="1208"/>
      <c r="U62" s="1209"/>
      <c r="V62" s="1064"/>
      <c r="W62" s="1005"/>
      <c r="X62" s="1005"/>
      <c r="Y62" s="1005"/>
      <c r="Z62" s="1005"/>
    </row>
    <row r="63" spans="1:26" s="1006" customFormat="1" ht="15.75">
      <c r="A63" s="1077"/>
      <c r="B63" s="1192" t="s">
        <v>1073</v>
      </c>
      <c r="C63" s="1193"/>
      <c r="D63" s="1194"/>
      <c r="E63" s="1007"/>
      <c r="F63" s="1195">
        <f>+ROUND(+SUM(F58:F61),0)</f>
        <v>0</v>
      </c>
      <c r="G63" s="1196">
        <f>+ROUND(+SUM(G58:G61),0)</f>
        <v>4900</v>
      </c>
      <c r="H63" s="1007"/>
      <c r="I63" s="1195">
        <f>+ROUND(+SUM(I58:I61),0)</f>
        <v>0</v>
      </c>
      <c r="J63" s="1196">
        <f>+ROUND(+SUM(J58:J61),0)</f>
        <v>0</v>
      </c>
      <c r="K63" s="1083"/>
      <c r="L63" s="1196">
        <f>+ROUND(+SUM(L58:L61),0)</f>
        <v>0</v>
      </c>
      <c r="M63" s="1083"/>
      <c r="N63" s="1197">
        <f>+ROUND(+SUM(N58:N61),0)</f>
        <v>4900</v>
      </c>
      <c r="O63" s="1085"/>
      <c r="P63" s="1195">
        <f>+ROUND(+SUM(P58:P61),0)</f>
        <v>0</v>
      </c>
      <c r="Q63" s="1196">
        <f>+ROUND(+SUM(Q58:Q61),0)</f>
        <v>4900</v>
      </c>
      <c r="R63" s="1034"/>
      <c r="S63" s="1844" t="s">
        <v>1074</v>
      </c>
      <c r="T63" s="1845"/>
      <c r="U63" s="1846"/>
      <c r="V63" s="1064"/>
      <c r="W63" s="1005"/>
      <c r="X63" s="1005"/>
      <c r="Y63" s="1005"/>
      <c r="Z63" s="1005"/>
    </row>
    <row r="64" spans="1:26" s="1006" customFormat="1" ht="15.75">
      <c r="A64" s="1077"/>
      <c r="B64" s="1086" t="s">
        <v>1075</v>
      </c>
      <c r="C64" s="1087"/>
      <c r="D64" s="1088"/>
      <c r="E64" s="1191"/>
      <c r="F64" s="1107"/>
      <c r="G64" s="1108"/>
      <c r="H64" s="1007"/>
      <c r="I64" s="1107"/>
      <c r="J64" s="1108"/>
      <c r="K64" s="1083"/>
      <c r="L64" s="1108"/>
      <c r="M64" s="1083"/>
      <c r="N64" s="1109"/>
      <c r="O64" s="1085"/>
      <c r="P64" s="1107"/>
      <c r="Q64" s="1108"/>
      <c r="R64" s="1034"/>
      <c r="S64" s="1086" t="s">
        <v>1075</v>
      </c>
      <c r="T64" s="1087"/>
      <c r="U64" s="1088"/>
      <c r="V64" s="1064"/>
      <c r="W64" s="1005"/>
      <c r="X64" s="1005"/>
      <c r="Y64" s="1005"/>
      <c r="Z64" s="1005"/>
    </row>
    <row r="65" spans="1:26" s="1006" customFormat="1" ht="15.75">
      <c r="A65" s="1077"/>
      <c r="B65" s="1092" t="s">
        <v>1076</v>
      </c>
      <c r="C65" s="1093"/>
      <c r="D65" s="1094"/>
      <c r="E65" s="1191"/>
      <c r="F65" s="1089">
        <f>+IF($P$2=0,$P65,0)</f>
        <v>0</v>
      </c>
      <c r="G65" s="1090">
        <f>+IF($P$2=0,$Q65,0)</f>
        <v>0</v>
      </c>
      <c r="H65" s="1007"/>
      <c r="I65" s="1089">
        <f>+IF(OR($P$2=98,$P$2=42,$P$2=96,$P$2=97),$P65,0)</f>
        <v>0</v>
      </c>
      <c r="J65" s="1090">
        <f>+IF(OR($P$2=98,$P$2=42,$P$2=96,$P$2=97),$Q65,0)</f>
        <v>0</v>
      </c>
      <c r="K65" s="1083"/>
      <c r="L65" s="1090">
        <f>+IF($P$2=33,$Q65,0)</f>
        <v>0</v>
      </c>
      <c r="M65" s="1083"/>
      <c r="N65" s="1120">
        <f>+ROUND(+G65+J65+L65,0)</f>
        <v>0</v>
      </c>
      <c r="O65" s="1085"/>
      <c r="P65" s="1089">
        <f>+ROUND(OTCHET!E227+OTCHET!E233+SUM(OTCHET!E236:E239),0)</f>
        <v>0</v>
      </c>
      <c r="Q65" s="1090">
        <f>+ROUND(OTCHET!L227+OTCHET!L233+SUM(OTCHET!L236:L239),0)</f>
        <v>0</v>
      </c>
      <c r="R65" s="1034"/>
      <c r="S65" s="1847" t="s">
        <v>1077</v>
      </c>
      <c r="T65" s="1848"/>
      <c r="U65" s="1849"/>
      <c r="V65" s="1064"/>
      <c r="W65" s="1005"/>
      <c r="X65" s="1005"/>
      <c r="Y65" s="1005"/>
      <c r="Z65" s="1005"/>
    </row>
    <row r="66" spans="1:26" s="1006" customFormat="1" ht="15.75">
      <c r="A66" s="1077"/>
      <c r="B66" s="1104" t="s">
        <v>1078</v>
      </c>
      <c r="C66" s="1105"/>
      <c r="D66" s="1106"/>
      <c r="E66" s="1007"/>
      <c r="F66" s="1107">
        <f>+IF($P$2=0,$P66,0)</f>
        <v>0</v>
      </c>
      <c r="G66" s="1108">
        <f>+IF($P$2=0,$Q66,0)</f>
        <v>0</v>
      </c>
      <c r="H66" s="1007"/>
      <c r="I66" s="1107">
        <f>+IF(OR($P$2=98,$P$2=42,$P$2=96,$P$2=97),$P66,0)</f>
        <v>0</v>
      </c>
      <c r="J66" s="1108">
        <f>+IF(OR($P$2=98,$P$2=42,$P$2=96,$P$2=97),$Q66,0)</f>
        <v>0</v>
      </c>
      <c r="K66" s="1083"/>
      <c r="L66" s="1108">
        <f>+IF($P$2=33,$Q66,0)</f>
        <v>0</v>
      </c>
      <c r="M66" s="1083"/>
      <c r="N66" s="1109">
        <f>+ROUND(+G66+J66+L66,0)</f>
        <v>0</v>
      </c>
      <c r="O66" s="1085"/>
      <c r="P66" s="1107">
        <f>+ROUND(OTCHET!E243,0)</f>
        <v>0</v>
      </c>
      <c r="Q66" s="1108">
        <f>+ROUND(OTCHET!L243,0)</f>
        <v>0</v>
      </c>
      <c r="R66" s="1034"/>
      <c r="S66" s="1850" t="s">
        <v>1079</v>
      </c>
      <c r="T66" s="1851"/>
      <c r="U66" s="1852"/>
      <c r="V66" s="1064"/>
      <c r="W66" s="1005"/>
      <c r="X66" s="1005"/>
      <c r="Y66" s="1005"/>
      <c r="Z66" s="1005"/>
    </row>
    <row r="67" spans="1:26" s="1006" customFormat="1" ht="15.75">
      <c r="A67" s="1077"/>
      <c r="B67" s="1192" t="s">
        <v>1080</v>
      </c>
      <c r="C67" s="1193"/>
      <c r="D67" s="1194"/>
      <c r="E67" s="1007"/>
      <c r="F67" s="1195">
        <f>+ROUND(+SUM(F65:F66),0)</f>
        <v>0</v>
      </c>
      <c r="G67" s="1196">
        <f>+ROUND(+SUM(G65:G66),0)</f>
        <v>0</v>
      </c>
      <c r="H67" s="1007"/>
      <c r="I67" s="1195">
        <f>+ROUND(+SUM(I65:I66),0)</f>
        <v>0</v>
      </c>
      <c r="J67" s="1196">
        <f>+ROUND(+SUM(J65:J66),0)</f>
        <v>0</v>
      </c>
      <c r="K67" s="1083"/>
      <c r="L67" s="1196">
        <f>+ROUND(+SUM(L65:L66),0)</f>
        <v>0</v>
      </c>
      <c r="M67" s="1083"/>
      <c r="N67" s="1197">
        <f>+ROUND(+SUM(N65:N66),0)</f>
        <v>0</v>
      </c>
      <c r="O67" s="1085"/>
      <c r="P67" s="1195">
        <f>+ROUND(+SUM(P65:P66),0)</f>
        <v>0</v>
      </c>
      <c r="Q67" s="1196">
        <f>+ROUND(+SUM(Q65:Q66),0)</f>
        <v>0</v>
      </c>
      <c r="R67" s="1034"/>
      <c r="S67" s="1844" t="s">
        <v>1081</v>
      </c>
      <c r="T67" s="1845"/>
      <c r="U67" s="1846"/>
      <c r="V67" s="1064"/>
      <c r="W67" s="1005"/>
      <c r="X67" s="1005"/>
      <c r="Y67" s="1005"/>
      <c r="Z67" s="1005"/>
    </row>
    <row r="68" spans="1:26" s="1006" customFormat="1" ht="15.75">
      <c r="A68" s="1077"/>
      <c r="B68" s="1086" t="s">
        <v>1082</v>
      </c>
      <c r="C68" s="1087"/>
      <c r="D68" s="1088"/>
      <c r="E68" s="1191"/>
      <c r="F68" s="1107"/>
      <c r="G68" s="1108"/>
      <c r="H68" s="1007"/>
      <c r="I68" s="1107"/>
      <c r="J68" s="1108"/>
      <c r="K68" s="1083"/>
      <c r="L68" s="1108"/>
      <c r="M68" s="1083"/>
      <c r="N68" s="1109"/>
      <c r="O68" s="1085"/>
      <c r="P68" s="1107"/>
      <c r="Q68" s="1108"/>
      <c r="R68" s="1034"/>
      <c r="S68" s="1086" t="s">
        <v>1082</v>
      </c>
      <c r="T68" s="1087"/>
      <c r="U68" s="1088"/>
      <c r="V68" s="1064"/>
      <c r="W68" s="1005"/>
      <c r="X68" s="1005"/>
      <c r="Y68" s="1005"/>
      <c r="Z68" s="1005"/>
    </row>
    <row r="69" spans="1:26" s="1006" customFormat="1" ht="15.75">
      <c r="A69" s="1077"/>
      <c r="B69" s="1092" t="s">
        <v>1083</v>
      </c>
      <c r="C69" s="1093"/>
      <c r="D69" s="1094"/>
      <c r="E69" s="1191"/>
      <c r="F69" s="1089">
        <f>+IF($P$2=0,$P69,0)</f>
        <v>0</v>
      </c>
      <c r="G69" s="1090">
        <f>+IF($P$2=0,$Q69,0)</f>
        <v>0</v>
      </c>
      <c r="H69" s="1007"/>
      <c r="I69" s="1089">
        <f>+IF(OR($P$2=98,$P$2=42,$P$2=96,$P$2=97),$P69,0)</f>
        <v>0</v>
      </c>
      <c r="J69" s="1090">
        <f>+IF(OR($P$2=98,$P$2=42,$P$2=96,$P$2=97),$Q69,0)</f>
        <v>0</v>
      </c>
      <c r="K69" s="1083"/>
      <c r="L69" s="1090">
        <f>+IF($P$2=33,$Q69,0)</f>
        <v>0</v>
      </c>
      <c r="M69" s="1083"/>
      <c r="N69" s="1120">
        <f>+ROUND(+G69+J69+L69,0)</f>
        <v>0</v>
      </c>
      <c r="O69" s="1085"/>
      <c r="P69" s="1089">
        <f>+ROUND(+SUM(OTCHET!E258:E261)+IF(+OR(OTCHET!$F$12=5500,OTCHET!$F$12=5600),+OTCHET!E300,0),0)</f>
        <v>0</v>
      </c>
      <c r="Q69" s="1090">
        <f>+ROUND(+SUM(OTCHET!L258:L261)+IF(+OR(OTCHET!$F$12=5500,OTCHET!$F$12=5600),+OTCHET!L300,0),0)</f>
        <v>0</v>
      </c>
      <c r="R69" s="1034"/>
      <c r="S69" s="1847" t="s">
        <v>1084</v>
      </c>
      <c r="T69" s="1848"/>
      <c r="U69" s="1849"/>
      <c r="V69" s="1064"/>
      <c r="W69" s="1005"/>
      <c r="X69" s="1005"/>
      <c r="Y69" s="1005"/>
      <c r="Z69" s="1005"/>
    </row>
    <row r="70" spans="1:26" s="1006" customFormat="1" ht="15.75">
      <c r="A70" s="1077"/>
      <c r="B70" s="1104" t="s">
        <v>1085</v>
      </c>
      <c r="C70" s="1105"/>
      <c r="D70" s="1106"/>
      <c r="E70" s="1007"/>
      <c r="F70" s="1107">
        <f>+IF($P$2=0,$P70,0)</f>
        <v>0</v>
      </c>
      <c r="G70" s="1108">
        <f>+IF($P$2=0,$Q70,0)</f>
        <v>0</v>
      </c>
      <c r="H70" s="1007"/>
      <c r="I70" s="1107">
        <f>+IF(OR($P$2=98,$P$2=42,$P$2=96,$P$2=97),$P70,0)</f>
        <v>0</v>
      </c>
      <c r="J70" s="1108">
        <f>+IF(OR($P$2=98,$P$2=42,$P$2=96,$P$2=97),$Q70,0)</f>
        <v>0</v>
      </c>
      <c r="K70" s="1083"/>
      <c r="L70" s="1108">
        <f>+IF($P$2=33,$Q70,0)</f>
        <v>0</v>
      </c>
      <c r="M70" s="1083"/>
      <c r="N70" s="1109">
        <f>+ROUND(+G70+J70+L70,0)</f>
        <v>0</v>
      </c>
      <c r="O70" s="1085"/>
      <c r="P70" s="1107">
        <f>+ROUND(+OTCHET!E295,0)</f>
        <v>0</v>
      </c>
      <c r="Q70" s="1108">
        <f>+ROUND(+OTCHET!L295,0)</f>
        <v>0</v>
      </c>
      <c r="R70" s="1034"/>
      <c r="S70" s="1850" t="s">
        <v>1086</v>
      </c>
      <c r="T70" s="1851"/>
      <c r="U70" s="1852"/>
      <c r="V70" s="1064"/>
      <c r="W70" s="1005"/>
      <c r="X70" s="1005"/>
      <c r="Y70" s="1005"/>
      <c r="Z70" s="1005"/>
    </row>
    <row r="71" spans="1:26" s="1006" customFormat="1" ht="15.75">
      <c r="A71" s="1077"/>
      <c r="B71" s="1192" t="s">
        <v>1087</v>
      </c>
      <c r="C71" s="1193"/>
      <c r="D71" s="1194"/>
      <c r="E71" s="1007"/>
      <c r="F71" s="1195">
        <f>+ROUND(+SUM(F69:F70),0)</f>
        <v>0</v>
      </c>
      <c r="G71" s="1196">
        <f>+ROUND(+SUM(G69:G70),0)</f>
        <v>0</v>
      </c>
      <c r="H71" s="1007"/>
      <c r="I71" s="1195">
        <f>+ROUND(+SUM(I69:I70),0)</f>
        <v>0</v>
      </c>
      <c r="J71" s="1196">
        <f>+ROUND(+SUM(J69:J70),0)</f>
        <v>0</v>
      </c>
      <c r="K71" s="1083"/>
      <c r="L71" s="1196">
        <f>+ROUND(+SUM(L69:L70),0)</f>
        <v>0</v>
      </c>
      <c r="M71" s="1083"/>
      <c r="N71" s="1197">
        <f>+ROUND(+SUM(N69:N70),0)</f>
        <v>0</v>
      </c>
      <c r="O71" s="1085"/>
      <c r="P71" s="1195">
        <f>+ROUND(+SUM(P69:P70),0)</f>
        <v>0</v>
      </c>
      <c r="Q71" s="1196">
        <f>+ROUND(+SUM(Q69:Q70),0)</f>
        <v>0</v>
      </c>
      <c r="R71" s="1034"/>
      <c r="S71" s="1844" t="s">
        <v>1088</v>
      </c>
      <c r="T71" s="1845"/>
      <c r="U71" s="1846"/>
      <c r="V71" s="1064"/>
      <c r="W71" s="1005"/>
      <c r="X71" s="1005"/>
      <c r="Y71" s="1005"/>
      <c r="Z71" s="1005"/>
    </row>
    <row r="72" spans="1:26" s="1006" customFormat="1" ht="15.75">
      <c r="A72" s="1077"/>
      <c r="B72" s="1086" t="s">
        <v>1089</v>
      </c>
      <c r="C72" s="1087"/>
      <c r="D72" s="1088"/>
      <c r="E72" s="1191"/>
      <c r="F72" s="1107"/>
      <c r="G72" s="1108"/>
      <c r="H72" s="1007"/>
      <c r="I72" s="1107"/>
      <c r="J72" s="1108"/>
      <c r="K72" s="1083"/>
      <c r="L72" s="1108"/>
      <c r="M72" s="1083"/>
      <c r="N72" s="1109"/>
      <c r="O72" s="1085"/>
      <c r="P72" s="1107"/>
      <c r="Q72" s="1108"/>
      <c r="R72" s="1034"/>
      <c r="S72" s="1086" t="s">
        <v>1089</v>
      </c>
      <c r="T72" s="1087"/>
      <c r="U72" s="1088"/>
      <c r="V72" s="1064"/>
      <c r="W72" s="1005"/>
      <c r="X72" s="1005"/>
      <c r="Y72" s="1005"/>
      <c r="Z72" s="1005"/>
    </row>
    <row r="73" spans="1:26" s="1006" customFormat="1" ht="15.75">
      <c r="A73" s="1077"/>
      <c r="B73" s="1092" t="s">
        <v>1090</v>
      </c>
      <c r="C73" s="1093"/>
      <c r="D73" s="1094"/>
      <c r="E73" s="1191"/>
      <c r="F73" s="1089">
        <f>+IF($P$2=0,$P73,0)</f>
        <v>0</v>
      </c>
      <c r="G73" s="1090">
        <f>+IF($P$2=0,$Q73,0)</f>
        <v>0</v>
      </c>
      <c r="H73" s="1007"/>
      <c r="I73" s="1089">
        <f>+IF(OR($P$2=98,$P$2=42,$P$2=96,$P$2=97),$P73,0)</f>
        <v>0</v>
      </c>
      <c r="J73" s="1090">
        <f>+IF(OR($P$2=98,$P$2=42,$P$2=96,$P$2=97),$Q73,0)</f>
        <v>0</v>
      </c>
      <c r="K73" s="1083"/>
      <c r="L73" s="1090">
        <f>+IF($P$2=33,$Q73,0)</f>
        <v>0</v>
      </c>
      <c r="M73" s="1083"/>
      <c r="N73" s="1120">
        <f>+ROUND(+G73+J73+L73,0)</f>
        <v>0</v>
      </c>
      <c r="O73" s="1085"/>
      <c r="P73" s="1089">
        <f>+ROUND(+OTCHET!E252+OTCHET!E268+OTCHET!E272+OTCHET!E273+OTCHET!E276,0)</f>
        <v>0</v>
      </c>
      <c r="Q73" s="1090">
        <f>+ROUND(+OTCHET!L252+OTCHET!L268+OTCHET!L272+OTCHET!L273+OTCHET!L276,0)</f>
        <v>0</v>
      </c>
      <c r="R73" s="1034"/>
      <c r="S73" s="1847" t="s">
        <v>1091</v>
      </c>
      <c r="T73" s="1848"/>
      <c r="U73" s="1849"/>
      <c r="V73" s="1064"/>
      <c r="W73" s="1005"/>
      <c r="X73" s="1005"/>
      <c r="Y73" s="1005"/>
      <c r="Z73" s="1005"/>
    </row>
    <row r="74" spans="1:26" s="1006" customFormat="1" ht="15.75">
      <c r="A74" s="1077"/>
      <c r="B74" s="1104" t="s">
        <v>1092</v>
      </c>
      <c r="C74" s="1105"/>
      <c r="D74" s="1106"/>
      <c r="E74" s="1007"/>
      <c r="F74" s="1107">
        <f>+IF($P$2=0,$P74,0)</f>
        <v>0</v>
      </c>
      <c r="G74" s="1108">
        <f>+IF($P$2=0,$Q74,0)</f>
        <v>0</v>
      </c>
      <c r="H74" s="1007"/>
      <c r="I74" s="1107">
        <f>+IF(OR($P$2=98,$P$2=42,$P$2=96,$P$2=97),$P74,0)</f>
        <v>0</v>
      </c>
      <c r="J74" s="1108">
        <f>+IF(OR($P$2=98,$P$2=42,$P$2=96,$P$2=97),$Q74,0)</f>
        <v>0</v>
      </c>
      <c r="K74" s="1083"/>
      <c r="L74" s="1108">
        <f>+IF($P$2=33,$Q74,0)</f>
        <v>0</v>
      </c>
      <c r="M74" s="1083"/>
      <c r="N74" s="1109">
        <f>+ROUND(+G74+J74+L74,0)</f>
        <v>0</v>
      </c>
      <c r="O74" s="1085"/>
      <c r="P74" s="1107">
        <f>+ROUND(OTCHET!E277+OTCHET!E291-OTCHET!E295,0)</f>
        <v>0</v>
      </c>
      <c r="Q74" s="1108">
        <f>+ROUND(OTCHET!L277+OTCHET!L291-OTCHET!L295,0)</f>
        <v>0</v>
      </c>
      <c r="R74" s="1034"/>
      <c r="S74" s="1850" t="s">
        <v>1093</v>
      </c>
      <c r="T74" s="1851"/>
      <c r="U74" s="1852"/>
      <c r="V74" s="1064"/>
      <c r="W74" s="1005"/>
      <c r="X74" s="1005"/>
      <c r="Y74" s="1005"/>
      <c r="Z74" s="1005"/>
    </row>
    <row r="75" spans="1:26" s="1006" customFormat="1" ht="15.75">
      <c r="A75" s="1077"/>
      <c r="B75" s="1192" t="s">
        <v>1094</v>
      </c>
      <c r="C75" s="1193"/>
      <c r="D75" s="1194"/>
      <c r="E75" s="1007"/>
      <c r="F75" s="1195">
        <f>+ROUND(+SUM(F73:F74),0)</f>
        <v>0</v>
      </c>
      <c r="G75" s="1196">
        <f>+ROUND(+SUM(G73:G74),0)</f>
        <v>0</v>
      </c>
      <c r="H75" s="1007"/>
      <c r="I75" s="1195">
        <f>+ROUND(+SUM(I73:I74),0)</f>
        <v>0</v>
      </c>
      <c r="J75" s="1196">
        <f>+ROUND(+SUM(J73:J74),0)</f>
        <v>0</v>
      </c>
      <c r="K75" s="1083"/>
      <c r="L75" s="1196">
        <f>+ROUND(+SUM(L73:L74),0)</f>
        <v>0</v>
      </c>
      <c r="M75" s="1083"/>
      <c r="N75" s="1197">
        <f>+ROUND(+SUM(N73:N74),0)</f>
        <v>0</v>
      </c>
      <c r="O75" s="1085"/>
      <c r="P75" s="1195">
        <f>+ROUND(+SUM(P73:P74),0)</f>
        <v>0</v>
      </c>
      <c r="Q75" s="1196">
        <f>+ROUND(+SUM(Q73:Q74),0)</f>
        <v>0</v>
      </c>
      <c r="R75" s="1034"/>
      <c r="S75" s="1844" t="s">
        <v>1095</v>
      </c>
      <c r="T75" s="1845"/>
      <c r="U75" s="1846"/>
      <c r="V75" s="1064"/>
      <c r="W75" s="1005"/>
      <c r="X75" s="1005"/>
      <c r="Y75" s="1005"/>
      <c r="Z75" s="1005"/>
    </row>
    <row r="76" spans="1:26" s="1006" customFormat="1" ht="6.75" customHeight="1">
      <c r="A76" s="1077"/>
      <c r="B76" s="1210"/>
      <c r="C76" s="1211"/>
      <c r="D76" s="1212"/>
      <c r="E76" s="1007"/>
      <c r="F76" s="1107"/>
      <c r="G76" s="1108"/>
      <c r="H76" s="1007"/>
      <c r="I76" s="1107"/>
      <c r="J76" s="1108"/>
      <c r="K76" s="1083"/>
      <c r="L76" s="1108"/>
      <c r="M76" s="1083"/>
      <c r="N76" s="1109"/>
      <c r="O76" s="1085"/>
      <c r="P76" s="1107"/>
      <c r="Q76" s="1108"/>
      <c r="R76" s="1034"/>
      <c r="S76" s="1213"/>
      <c r="T76" s="1214"/>
      <c r="U76" s="1215"/>
      <c r="V76" s="1064"/>
      <c r="W76" s="1005"/>
      <c r="X76" s="1005"/>
      <c r="Y76" s="1005"/>
      <c r="Z76" s="1005"/>
    </row>
    <row r="77" spans="1:26" s="1006" customFormat="1" ht="16.5" thickBot="1">
      <c r="A77" s="1077"/>
      <c r="B77" s="1216" t="s">
        <v>1096</v>
      </c>
      <c r="C77" s="1217"/>
      <c r="D77" s="1218"/>
      <c r="E77" s="1007"/>
      <c r="F77" s="1219">
        <f>+ROUND(F56+F63+F67+F71+F75,0)</f>
        <v>0</v>
      </c>
      <c r="G77" s="1220">
        <f>+ROUND(G56+G63+G67+G71+G75,0)</f>
        <v>1048064</v>
      </c>
      <c r="H77" s="1007"/>
      <c r="I77" s="1219">
        <f>+ROUND(I56+I63+I67+I71+I75,0)</f>
        <v>0</v>
      </c>
      <c r="J77" s="1221">
        <f>+ROUND(J56+J63+J67+J71+J75,0)</f>
        <v>0</v>
      </c>
      <c r="K77" s="1083"/>
      <c r="L77" s="1221">
        <f>+ROUND(L56+L63+L67+L71+L75,0)</f>
        <v>0</v>
      </c>
      <c r="M77" s="1083"/>
      <c r="N77" s="1222">
        <f>+ROUND(N56+N63+N67+N71+N75,0)</f>
        <v>1048064</v>
      </c>
      <c r="O77" s="1085"/>
      <c r="P77" s="1219">
        <f>+ROUND(P56+P63+P67+P71+P75,0)</f>
        <v>0</v>
      </c>
      <c r="Q77" s="1220">
        <f>+ROUND(Q56+Q63+Q67+Q71+Q75,0)</f>
        <v>1048064</v>
      </c>
      <c r="R77" s="1034"/>
      <c r="S77" s="1853" t="s">
        <v>1097</v>
      </c>
      <c r="T77" s="1854"/>
      <c r="U77" s="1855"/>
      <c r="V77" s="1223"/>
      <c r="W77" s="1224"/>
      <c r="X77" s="1225"/>
      <c r="Y77" s="1224"/>
      <c r="Z77" s="1224"/>
    </row>
    <row r="78" spans="1:26" s="1006" customFormat="1" ht="15.75">
      <c r="A78" s="1077"/>
      <c r="B78" s="1078" t="s">
        <v>1098</v>
      </c>
      <c r="C78" s="1079"/>
      <c r="D78" s="1080"/>
      <c r="E78" s="1007"/>
      <c r="F78" s="1089"/>
      <c r="G78" s="1090"/>
      <c r="H78" s="1007"/>
      <c r="I78" s="1089"/>
      <c r="J78" s="1090"/>
      <c r="K78" s="1083"/>
      <c r="L78" s="1090"/>
      <c r="M78" s="1083"/>
      <c r="N78" s="1120"/>
      <c r="O78" s="1085"/>
      <c r="P78" s="1089"/>
      <c r="Q78" s="1090"/>
      <c r="R78" s="1034"/>
      <c r="S78" s="1078" t="s">
        <v>1098</v>
      </c>
      <c r="T78" s="1079"/>
      <c r="U78" s="1080"/>
      <c r="V78" s="1064"/>
      <c r="W78" s="1005"/>
      <c r="X78" s="1005"/>
      <c r="Y78" s="1005"/>
      <c r="Z78" s="1005"/>
    </row>
    <row r="79" spans="1:26" s="1006" customFormat="1" ht="15.75">
      <c r="A79" s="1077"/>
      <c r="B79" s="1092" t="s">
        <v>1099</v>
      </c>
      <c r="C79" s="1093"/>
      <c r="D79" s="1094"/>
      <c r="E79" s="1007"/>
      <c r="F79" s="1095">
        <f>+IF($P$2=0,$P79,0)</f>
        <v>0</v>
      </c>
      <c r="G79" s="1096">
        <f>+IF($P$2=0,$Q79,0)</f>
        <v>1040341</v>
      </c>
      <c r="H79" s="1007"/>
      <c r="I79" s="1095">
        <f>+IF(OR($P$2=98,$P$2=42,$P$2=96,$P$2=97),$P79,0)</f>
        <v>0</v>
      </c>
      <c r="J79" s="1096">
        <f>+IF(OR($P$2=98,$P$2=42,$P$2=96,$P$2=97),$Q79,0)</f>
        <v>0</v>
      </c>
      <c r="K79" s="1083"/>
      <c r="L79" s="1096">
        <f>+IF($P$2=33,$Q79,0)</f>
        <v>0</v>
      </c>
      <c r="M79" s="1083"/>
      <c r="N79" s="1097">
        <f>+ROUND(+G79+J79+L79,0)</f>
        <v>1040341</v>
      </c>
      <c r="O79" s="1085"/>
      <c r="P79" s="1095">
        <f>+ROUND(OTCHET!E422,0)</f>
        <v>0</v>
      </c>
      <c r="Q79" s="1096">
        <f>+ROUND(OTCHET!L422,0)</f>
        <v>1040341</v>
      </c>
      <c r="R79" s="1034"/>
      <c r="S79" s="1847" t="s">
        <v>1100</v>
      </c>
      <c r="T79" s="1848"/>
      <c r="U79" s="1849"/>
      <c r="V79" s="1064"/>
      <c r="W79" s="1005"/>
      <c r="X79" s="1005"/>
      <c r="Y79" s="1005"/>
      <c r="Z79" s="1005"/>
    </row>
    <row r="80" spans="1:26" s="1006" customFormat="1" ht="15.75">
      <c r="A80" s="1077"/>
      <c r="B80" s="1104" t="s">
        <v>1101</v>
      </c>
      <c r="C80" s="1105"/>
      <c r="D80" s="1106"/>
      <c r="E80" s="1007"/>
      <c r="F80" s="1107">
        <f>+IF($P$2=0,$P80,0)</f>
        <v>0</v>
      </c>
      <c r="G80" s="1108">
        <f>+IF($P$2=0,$Q80,0)</f>
        <v>0</v>
      </c>
      <c r="H80" s="1007"/>
      <c r="I80" s="1107">
        <f>+IF(OR($P$2=98,$P$2=42,$P$2=96,$P$2=97),$P80,0)</f>
        <v>0</v>
      </c>
      <c r="J80" s="1108">
        <f>+IF(OR($P$2=98,$P$2=42,$P$2=96,$P$2=97),$Q80,0)</f>
        <v>0</v>
      </c>
      <c r="K80" s="1083"/>
      <c r="L80" s="1108">
        <f>+IF($P$2=33,$Q80,0)</f>
        <v>0</v>
      </c>
      <c r="M80" s="1083"/>
      <c r="N80" s="1109">
        <f>+ROUND(+G80+J80+L80,0)</f>
        <v>0</v>
      </c>
      <c r="O80" s="1085"/>
      <c r="P80" s="1107">
        <f>+ROUND(OTCHET!E432,0)</f>
        <v>0</v>
      </c>
      <c r="Q80" s="1108">
        <f>+ROUND(OTCHET!L432,0)</f>
        <v>0</v>
      </c>
      <c r="R80" s="1034"/>
      <c r="S80" s="1850" t="s">
        <v>1102</v>
      </c>
      <c r="T80" s="1851"/>
      <c r="U80" s="1852"/>
      <c r="V80" s="1064"/>
      <c r="W80" s="1005"/>
      <c r="X80" s="1005"/>
      <c r="Y80" s="1005"/>
      <c r="Z80" s="1005"/>
    </row>
    <row r="81" spans="1:26" s="1006" customFormat="1" ht="16.5" thickBot="1">
      <c r="A81" s="1077"/>
      <c r="B81" s="1226" t="s">
        <v>1103</v>
      </c>
      <c r="C81" s="1227"/>
      <c r="D81" s="1228"/>
      <c r="E81" s="1007"/>
      <c r="F81" s="1229">
        <f>+ROUND(F79+F80,0)</f>
        <v>0</v>
      </c>
      <c r="G81" s="1230">
        <f>+ROUND(G79+G80,0)</f>
        <v>1040341</v>
      </c>
      <c r="H81" s="1007"/>
      <c r="I81" s="1229">
        <f>+ROUND(I79+I80,0)</f>
        <v>0</v>
      </c>
      <c r="J81" s="1230">
        <f>+ROUND(J79+J80,0)</f>
        <v>0</v>
      </c>
      <c r="K81" s="1083"/>
      <c r="L81" s="1230">
        <f>+ROUND(L79+L80,0)</f>
        <v>0</v>
      </c>
      <c r="M81" s="1083"/>
      <c r="N81" s="1231">
        <f>+ROUND(N79+N80,0)</f>
        <v>1040341</v>
      </c>
      <c r="O81" s="1085"/>
      <c r="P81" s="1229">
        <f>+ROUND(P79+P80,0)</f>
        <v>0</v>
      </c>
      <c r="Q81" s="1230">
        <f>+ROUND(Q79+Q80,0)</f>
        <v>1040341</v>
      </c>
      <c r="R81" s="1034"/>
      <c r="S81" s="1859" t="s">
        <v>1104</v>
      </c>
      <c r="T81" s="1860"/>
      <c r="U81" s="1861"/>
      <c r="V81" s="1223"/>
      <c r="W81" s="1224"/>
      <c r="X81" s="1225"/>
      <c r="Y81" s="1224"/>
      <c r="Z81" s="1224"/>
    </row>
    <row r="82" spans="1:26" s="1006" customFormat="1" ht="15.75" customHeight="1" thickBot="1">
      <c r="A82" s="1077"/>
      <c r="B82" s="1871">
        <f>+IF(+SUM(F82:N82)=0,0,"Контрола: дефицит/излишък = финансиране с обратен знак (Г. + Д. = 0)")</f>
        <v>0</v>
      </c>
      <c r="C82" s="1872"/>
      <c r="D82" s="1873"/>
      <c r="E82" s="1007"/>
      <c r="F82" s="1232">
        <f>+ROUND(F83,0)+ROUND(F84,0)</f>
        <v>0</v>
      </c>
      <c r="G82" s="1233">
        <f>+ROUND(G83,0)+ROUND(G84,0)</f>
        <v>0</v>
      </c>
      <c r="H82" s="1007"/>
      <c r="I82" s="1232">
        <f>+ROUND(I83,0)+ROUND(I84,0)</f>
        <v>0</v>
      </c>
      <c r="J82" s="1233">
        <f>+ROUND(J83,0)+ROUND(J84,0)</f>
        <v>0</v>
      </c>
      <c r="K82" s="1007"/>
      <c r="L82" s="1233">
        <f>+ROUND(L83,0)+ROUND(L84,0)</f>
        <v>0</v>
      </c>
      <c r="M82" s="1007"/>
      <c r="N82" s="1234">
        <f>+ROUND(N83,0)+ROUND(N84,0)</f>
        <v>0</v>
      </c>
      <c r="O82" s="1235"/>
      <c r="P82" s="1232">
        <f>+ROUND(P83,0)+ROUND(P84,0)</f>
        <v>0</v>
      </c>
      <c r="Q82" s="1233">
        <f>+ROUND(Q83,0)+ROUND(Q84,0)</f>
        <v>0</v>
      </c>
      <c r="R82" s="1034"/>
      <c r="S82" s="1236"/>
      <c r="T82" s="1237"/>
      <c r="U82" s="1238"/>
      <c r="V82" s="1064"/>
      <c r="W82" s="1005"/>
      <c r="X82" s="1005"/>
      <c r="Y82" s="1005"/>
      <c r="Z82" s="1005"/>
    </row>
    <row r="83" spans="1:26" s="1006" customFormat="1" ht="19.5" thickTop="1">
      <c r="A83" s="1077"/>
      <c r="B83" s="1239" t="s">
        <v>1105</v>
      </c>
      <c r="C83" s="1240"/>
      <c r="D83" s="1241"/>
      <c r="E83" s="1007"/>
      <c r="F83" s="1242">
        <f>+ROUND(F48,0)-ROUND(F77,0)+ROUND(F81,0)</f>
        <v>0</v>
      </c>
      <c r="G83" s="1243">
        <f>+ROUND(G48,0)-ROUND(G77,0)+ROUND(G81,0)</f>
        <v>-7723</v>
      </c>
      <c r="H83" s="1007"/>
      <c r="I83" s="1242">
        <f>+ROUND(I48,0)-ROUND(I77,0)+ROUND(I81,0)</f>
        <v>0</v>
      </c>
      <c r="J83" s="1243">
        <f>+ROUND(J48,0)-ROUND(J77,0)+ROUND(J81,0)</f>
        <v>0</v>
      </c>
      <c r="K83" s="1083"/>
      <c r="L83" s="1243">
        <f>+ROUND(L48,0)-ROUND(L77,0)+ROUND(L81,0)</f>
        <v>0</v>
      </c>
      <c r="M83" s="1083"/>
      <c r="N83" s="1244">
        <f>+ROUND(N48,0)-ROUND(N77,0)+ROUND(N81,0)</f>
        <v>-7723</v>
      </c>
      <c r="O83" s="1245"/>
      <c r="P83" s="1242">
        <f>+ROUND(P48,0)-ROUND(P77,0)+ROUND(P81,0)</f>
        <v>0</v>
      </c>
      <c r="Q83" s="1243">
        <f>+ROUND(Q48,0)-ROUND(Q77,0)+ROUND(Q81,0)</f>
        <v>-7723</v>
      </c>
      <c r="R83" s="1034"/>
      <c r="S83" s="1239" t="s">
        <v>1105</v>
      </c>
      <c r="T83" s="1240"/>
      <c r="U83" s="1241"/>
      <c r="V83" s="1223"/>
      <c r="W83" s="1224"/>
      <c r="X83" s="1225"/>
      <c r="Y83" s="1224"/>
      <c r="Z83" s="1224"/>
    </row>
    <row r="84" spans="1:26" s="1006" customFormat="1" ht="19.5" thickBot="1">
      <c r="A84" s="1077"/>
      <c r="B84" s="1246" t="s">
        <v>1106</v>
      </c>
      <c r="C84" s="1247"/>
      <c r="D84" s="1248"/>
      <c r="E84" s="1249"/>
      <c r="F84" s="1250">
        <f>+ROUND(F101,0)+ROUND(F120,0)+ROUND(F127,0)-ROUND(F132,0)</f>
        <v>0</v>
      </c>
      <c r="G84" s="1251">
        <f>+ROUND(G101,0)+ROUND(G120,0)+ROUND(G127,0)-ROUND(G132,0)</f>
        <v>7723</v>
      </c>
      <c r="H84" s="1007"/>
      <c r="I84" s="1250">
        <f>+ROUND(I101,0)+ROUND(I120,0)+ROUND(I127,0)-ROUND(I132,0)</f>
        <v>0</v>
      </c>
      <c r="J84" s="1251">
        <f>+ROUND(J101,0)+ROUND(J120,0)+ROUND(J127,0)-ROUND(J132,0)</f>
        <v>0</v>
      </c>
      <c r="K84" s="1083"/>
      <c r="L84" s="1251">
        <f>+ROUND(L101,0)+ROUND(L120,0)+ROUND(L127,0)-ROUND(L132,0)</f>
        <v>0</v>
      </c>
      <c r="M84" s="1083"/>
      <c r="N84" s="1252">
        <f>+ROUND(N101,0)+ROUND(N120,0)+ROUND(N127,0)-ROUND(N132,0)</f>
        <v>7723</v>
      </c>
      <c r="O84" s="1245"/>
      <c r="P84" s="1250">
        <f>+ROUND(P101,0)+ROUND(P120,0)+ROUND(P127,0)-ROUND(P132,0)</f>
        <v>0</v>
      </c>
      <c r="Q84" s="1251">
        <f>+ROUND(Q101,0)+ROUND(Q120,0)+ROUND(Q127,0)-ROUND(Q132,0)</f>
        <v>7723</v>
      </c>
      <c r="R84" s="1034"/>
      <c r="S84" s="1246" t="s">
        <v>1106</v>
      </c>
      <c r="T84" s="1247"/>
      <c r="U84" s="1248"/>
      <c r="V84" s="1223"/>
      <c r="W84" s="1224"/>
      <c r="X84" s="1225"/>
      <c r="Y84" s="1224"/>
      <c r="Z84" s="1224"/>
    </row>
    <row r="85" spans="1:26" s="1006" customFormat="1" ht="16.5" thickTop="1">
      <c r="A85" s="1077"/>
      <c r="B85" s="1078" t="s">
        <v>1107</v>
      </c>
      <c r="C85" s="1079"/>
      <c r="D85" s="1080"/>
      <c r="E85" s="1007"/>
      <c r="F85" s="1081"/>
      <c r="G85" s="1082"/>
      <c r="H85" s="1007"/>
      <c r="I85" s="1081"/>
      <c r="J85" s="1082"/>
      <c r="K85" s="1083"/>
      <c r="L85" s="1082"/>
      <c r="M85" s="1083"/>
      <c r="N85" s="1116"/>
      <c r="O85" s="1085"/>
      <c r="P85" s="1081"/>
      <c r="Q85" s="1082"/>
      <c r="R85" s="1034"/>
      <c r="S85" s="1078" t="s">
        <v>1107</v>
      </c>
      <c r="T85" s="1079"/>
      <c r="U85" s="1080"/>
      <c r="V85" s="1064"/>
      <c r="W85" s="1005"/>
      <c r="X85" s="1005"/>
      <c r="Y85" s="1005"/>
      <c r="Z85" s="1005"/>
    </row>
    <row r="86" spans="1:26" s="1006" customFormat="1" ht="15.75">
      <c r="A86" s="1077"/>
      <c r="B86" s="1253" t="s">
        <v>1108</v>
      </c>
      <c r="C86" s="1254"/>
      <c r="D86" s="1255"/>
      <c r="E86" s="1007"/>
      <c r="F86" s="1095"/>
      <c r="G86" s="1096"/>
      <c r="H86" s="1007"/>
      <c r="I86" s="1095"/>
      <c r="J86" s="1096"/>
      <c r="K86" s="1083"/>
      <c r="L86" s="1096"/>
      <c r="M86" s="1083"/>
      <c r="N86" s="1097"/>
      <c r="O86" s="1085"/>
      <c r="P86" s="1095"/>
      <c r="Q86" s="1096"/>
      <c r="R86" s="1034"/>
      <c r="S86" s="1253" t="s">
        <v>1108</v>
      </c>
      <c r="T86" s="1254"/>
      <c r="U86" s="1255"/>
      <c r="V86" s="1064"/>
      <c r="W86" s="1005"/>
      <c r="X86" s="1005"/>
      <c r="Y86" s="1005"/>
      <c r="Z86" s="1005"/>
    </row>
    <row r="87" spans="1:26" s="1006" customFormat="1" ht="15.75">
      <c r="A87" s="1077"/>
      <c r="B87" s="1098" t="s">
        <v>1109</v>
      </c>
      <c r="C87" s="1099"/>
      <c r="D87" s="1100"/>
      <c r="E87" s="1007"/>
      <c r="F87" s="1101">
        <f>+IF($P$2=0,$P87,0)</f>
        <v>0</v>
      </c>
      <c r="G87" s="1102">
        <f>+IF($P$2=0,$Q87,0)</f>
        <v>0</v>
      </c>
      <c r="H87" s="1007"/>
      <c r="I87" s="1101">
        <f>+IF(OR($P$2=98,$P$2=42,$P$2=96,$P$2=97),$P87,0)</f>
        <v>0</v>
      </c>
      <c r="J87" s="1102">
        <f>+IF(OR($P$2=98,$P$2=42,$P$2=96,$P$2=97),$Q87,0)</f>
        <v>0</v>
      </c>
      <c r="K87" s="1083"/>
      <c r="L87" s="1102">
        <f>+IF($P$2=33,$Q87,0)</f>
        <v>0</v>
      </c>
      <c r="M87" s="1083"/>
      <c r="N87" s="1103">
        <f>+ROUND(+G87+J87+L87,0)</f>
        <v>0</v>
      </c>
      <c r="O87" s="1085"/>
      <c r="P87" s="1101">
        <f>+ROUND(+OTCHET!E465+OTCHET!E466,0)</f>
        <v>0</v>
      </c>
      <c r="Q87" s="1102">
        <f>+ROUND(+OTCHET!L465+OTCHET!L466,0)</f>
        <v>0</v>
      </c>
      <c r="R87" s="1034"/>
      <c r="S87" s="1847" t="s">
        <v>1110</v>
      </c>
      <c r="T87" s="1848"/>
      <c r="U87" s="1849"/>
      <c r="V87" s="1064"/>
      <c r="W87" s="1005"/>
      <c r="X87" s="1005"/>
      <c r="Y87" s="1005"/>
      <c r="Z87" s="1005"/>
    </row>
    <row r="88" spans="1:26" s="1006" customFormat="1" ht="15.75">
      <c r="A88" s="1077"/>
      <c r="B88" s="1104" t="s">
        <v>1111</v>
      </c>
      <c r="C88" s="1105"/>
      <c r="D88" s="1106"/>
      <c r="E88" s="1007"/>
      <c r="F88" s="1107">
        <f>+IF($P$2=0,$P88,0)</f>
        <v>0</v>
      </c>
      <c r="G88" s="1108">
        <f>+IF($P$2=0,$Q88,0)</f>
        <v>0</v>
      </c>
      <c r="H88" s="1007"/>
      <c r="I88" s="1107">
        <f>+IF(OR($P$2=98,$P$2=42,$P$2=96,$P$2=97),$P88,0)</f>
        <v>0</v>
      </c>
      <c r="J88" s="1108">
        <f>+IF(OR($P$2=98,$P$2=42,$P$2=96,$P$2=97),$Q88,0)</f>
        <v>0</v>
      </c>
      <c r="K88" s="1083"/>
      <c r="L88" s="1108">
        <f>+IF($P$2=33,$Q88,0)</f>
        <v>0</v>
      </c>
      <c r="M88" s="1083"/>
      <c r="N88" s="1109">
        <f>+ROUND(+G88+J88+L88,0)</f>
        <v>0</v>
      </c>
      <c r="O88" s="1085"/>
      <c r="P88" s="1107">
        <f>+ROUND(OTCHET!E467+OTCHET!E538,0)</f>
        <v>0</v>
      </c>
      <c r="Q88" s="1108">
        <f>+ROUND(OTCHET!L467+OTCHET!L538,0)</f>
        <v>0</v>
      </c>
      <c r="R88" s="1034"/>
      <c r="S88" s="1850" t="s">
        <v>1112</v>
      </c>
      <c r="T88" s="1851"/>
      <c r="U88" s="1852"/>
      <c r="V88" s="1064"/>
      <c r="W88" s="1005"/>
      <c r="X88" s="1005"/>
      <c r="Y88" s="1005"/>
      <c r="Z88" s="1005"/>
    </row>
    <row r="89" spans="1:26" s="1006" customFormat="1" ht="15.75">
      <c r="A89" s="1077"/>
      <c r="B89" s="1110" t="s">
        <v>1113</v>
      </c>
      <c r="C89" s="1111"/>
      <c r="D89" s="1112"/>
      <c r="E89" s="1007"/>
      <c r="F89" s="1113">
        <f>+ROUND(+SUM(F87:F88),0)</f>
        <v>0</v>
      </c>
      <c r="G89" s="1114">
        <f>+ROUND(+SUM(G87:G88),0)</f>
        <v>0</v>
      </c>
      <c r="H89" s="1007"/>
      <c r="I89" s="1113">
        <f>+ROUND(+SUM(I87:I88),0)</f>
        <v>0</v>
      </c>
      <c r="J89" s="1114">
        <f>+ROUND(+SUM(J87:J88),0)</f>
        <v>0</v>
      </c>
      <c r="K89" s="1083"/>
      <c r="L89" s="1114">
        <f>+ROUND(+SUM(L87:L88),0)</f>
        <v>0</v>
      </c>
      <c r="M89" s="1083"/>
      <c r="N89" s="1115">
        <f>+ROUND(+SUM(N87:N88),0)</f>
        <v>0</v>
      </c>
      <c r="O89" s="1085"/>
      <c r="P89" s="1113">
        <f>+ROUND(+SUM(P87:P88),0)</f>
        <v>0</v>
      </c>
      <c r="Q89" s="1114">
        <f>+ROUND(+SUM(Q87:Q88),0)</f>
        <v>0</v>
      </c>
      <c r="R89" s="1034"/>
      <c r="S89" s="1844" t="s">
        <v>1114</v>
      </c>
      <c r="T89" s="1845"/>
      <c r="U89" s="1846"/>
      <c r="V89" s="1064"/>
      <c r="W89" s="1005"/>
      <c r="X89" s="1005"/>
      <c r="Y89" s="1005"/>
      <c r="Z89" s="1005"/>
    </row>
    <row r="90" spans="1:26" s="1006" customFormat="1" ht="15.75">
      <c r="A90" s="1077"/>
      <c r="B90" s="1086" t="s">
        <v>1115</v>
      </c>
      <c r="C90" s="1087"/>
      <c r="D90" s="1088"/>
      <c r="E90" s="1007"/>
      <c r="F90" s="1081"/>
      <c r="G90" s="1082"/>
      <c r="H90" s="1007"/>
      <c r="I90" s="1081"/>
      <c r="J90" s="1082"/>
      <c r="K90" s="1083"/>
      <c r="L90" s="1082"/>
      <c r="M90" s="1083"/>
      <c r="N90" s="1116"/>
      <c r="O90" s="1085"/>
      <c r="P90" s="1081"/>
      <c r="Q90" s="1082"/>
      <c r="R90" s="1034"/>
      <c r="S90" s="1086" t="s">
        <v>1115</v>
      </c>
      <c r="T90" s="1087"/>
      <c r="U90" s="1088"/>
      <c r="V90" s="1064"/>
      <c r="W90" s="1005"/>
      <c r="X90" s="1005"/>
      <c r="Y90" s="1005"/>
      <c r="Z90" s="1005"/>
    </row>
    <row r="91" spans="1:26" s="1006" customFormat="1" ht="15.75">
      <c r="A91" s="1077"/>
      <c r="B91" s="1092" t="s">
        <v>1116</v>
      </c>
      <c r="C91" s="1093"/>
      <c r="D91" s="1094"/>
      <c r="E91" s="1007"/>
      <c r="F91" s="1095">
        <f>+IF($P$2=0,$P91,0)</f>
        <v>0</v>
      </c>
      <c r="G91" s="1096">
        <f>+IF($P$2=0,$Q91,0)</f>
        <v>0</v>
      </c>
      <c r="H91" s="1007"/>
      <c r="I91" s="1095">
        <f>+IF(OR($P$2=98,$P$2=42,$P$2=96,$P$2=97),$P91,0)</f>
        <v>0</v>
      </c>
      <c r="J91" s="1096">
        <f>+IF(OR($P$2=98,$P$2=42,$P$2=96,$P$2=97),$Q91,0)</f>
        <v>0</v>
      </c>
      <c r="K91" s="1083"/>
      <c r="L91" s="1096">
        <f>+IF($P$2=33,$Q91,0)</f>
        <v>0</v>
      </c>
      <c r="M91" s="1083"/>
      <c r="N91" s="1097">
        <f>+ROUND(+G91+J91+L91,0)</f>
        <v>0</v>
      </c>
      <c r="O91" s="1085"/>
      <c r="P91" s="1095">
        <f>+ROUND(OTCHET!E469+OTCHET!E472+OTCHET!E482,0)</f>
        <v>0</v>
      </c>
      <c r="Q91" s="1096">
        <f>+ROUND(OTCHET!L469+OTCHET!L472+OTCHET!L482,0)</f>
        <v>0</v>
      </c>
      <c r="R91" s="1034"/>
      <c r="S91" s="1847" t="s">
        <v>1117</v>
      </c>
      <c r="T91" s="1848"/>
      <c r="U91" s="1849"/>
      <c r="V91" s="1064"/>
      <c r="W91" s="1005"/>
      <c r="X91" s="1005"/>
      <c r="Y91" s="1005"/>
      <c r="Z91" s="1005"/>
    </row>
    <row r="92" spans="1:26" s="1006" customFormat="1" ht="15.75">
      <c r="A92" s="1077"/>
      <c r="B92" s="1098" t="s">
        <v>1118</v>
      </c>
      <c r="C92" s="1099"/>
      <c r="D92" s="1100"/>
      <c r="E92" s="1007"/>
      <c r="F92" s="1107">
        <f>+IF($P$2=0,$P92,0)</f>
        <v>0</v>
      </c>
      <c r="G92" s="1108">
        <f>+IF($P$2=0,$Q92,0)</f>
        <v>0</v>
      </c>
      <c r="H92" s="1007"/>
      <c r="I92" s="1107">
        <f>+IF(OR($P$2=98,$P$2=42,$P$2=96,$P$2=97),$P92,0)</f>
        <v>0</v>
      </c>
      <c r="J92" s="1108">
        <f>+IF(OR($P$2=98,$P$2=42,$P$2=96,$P$2=97),$Q92,0)</f>
        <v>0</v>
      </c>
      <c r="K92" s="1083"/>
      <c r="L92" s="1108">
        <f>+IF($P$2=33,$Q92,0)</f>
        <v>0</v>
      </c>
      <c r="M92" s="1083"/>
      <c r="N92" s="1109">
        <f>+ROUND(+G92+J92+L92,0)</f>
        <v>0</v>
      </c>
      <c r="O92" s="1085"/>
      <c r="P92" s="1107">
        <f>+ROUND(OTCHET!E470+OTCHET!E473+OTCHET!E483+OTCHET!E505+IF(+OTCHET!E497&gt;0,+OTCHET!E497,0),0)</f>
        <v>0</v>
      </c>
      <c r="Q92" s="1108">
        <f>+ROUND(OTCHET!L470+OTCHET!L473+OTCHET!L483+OTCHET!L505+IF(+OTCHET!L497&gt;0,+OTCHET!L497,0),0)</f>
        <v>0</v>
      </c>
      <c r="R92" s="1034"/>
      <c r="S92" s="1850" t="s">
        <v>1119</v>
      </c>
      <c r="T92" s="1851"/>
      <c r="U92" s="1852"/>
      <c r="V92" s="1064"/>
      <c r="W92" s="1005"/>
      <c r="X92" s="1005"/>
      <c r="Y92" s="1005"/>
      <c r="Z92" s="1005"/>
    </row>
    <row r="93" spans="1:26" s="1006" customFormat="1" ht="15.75">
      <c r="A93" s="1077"/>
      <c r="B93" s="1098" t="s">
        <v>1120</v>
      </c>
      <c r="C93" s="1099"/>
      <c r="D93" s="1100"/>
      <c r="E93" s="1007"/>
      <c r="F93" s="1101">
        <f>+IF($P$2=0,$P93,0)</f>
        <v>0</v>
      </c>
      <c r="G93" s="1102">
        <f>+IF($P$2=0,$Q93,0)</f>
        <v>0</v>
      </c>
      <c r="H93" s="1007"/>
      <c r="I93" s="1101">
        <f>+IF(OR($P$2=98,$P$2=42,$P$2=96,$P$2=97),$P93,0)</f>
        <v>0</v>
      </c>
      <c r="J93" s="1102">
        <f>+IF(OR($P$2=98,$P$2=42,$P$2=96,$P$2=97),$Q93,0)</f>
        <v>0</v>
      </c>
      <c r="K93" s="1083"/>
      <c r="L93" s="1102">
        <f>+IF($P$2=33,$Q93,0)</f>
        <v>0</v>
      </c>
      <c r="M93" s="1083"/>
      <c r="N93" s="1103">
        <f>+ROUND(+G93+J93+L93,0)</f>
        <v>0</v>
      </c>
      <c r="O93" s="1085"/>
      <c r="P93" s="1101">
        <f>+ROUND(+SUM(OTCHET!E475:E477),0)</f>
        <v>0</v>
      </c>
      <c r="Q93" s="1102">
        <f>+ROUND(+SUM(OTCHET!L475:L477),0)</f>
        <v>0</v>
      </c>
      <c r="R93" s="1034"/>
      <c r="S93" s="1850" t="s">
        <v>1121</v>
      </c>
      <c r="T93" s="1851"/>
      <c r="U93" s="1852"/>
      <c r="V93" s="1064"/>
      <c r="W93" s="1005"/>
      <c r="X93" s="1005"/>
      <c r="Y93" s="1005"/>
      <c r="Z93" s="1005"/>
    </row>
    <row r="94" spans="1:26" s="1006" customFormat="1" ht="15.75">
      <c r="A94" s="1077"/>
      <c r="B94" s="1256" t="s">
        <v>1122</v>
      </c>
      <c r="C94" s="1257"/>
      <c r="D94" s="1258"/>
      <c r="E94" s="1007"/>
      <c r="F94" s="1089">
        <f>+IF($P$2=0,$P94,0)</f>
        <v>0</v>
      </c>
      <c r="G94" s="1090">
        <f>+IF($P$2=0,$Q94,0)</f>
        <v>0</v>
      </c>
      <c r="H94" s="1007"/>
      <c r="I94" s="1089">
        <f>+IF(OR($P$2=98,$P$2=42,$P$2=96,$P$2=97),$P94,0)</f>
        <v>0</v>
      </c>
      <c r="J94" s="1090">
        <f>+IF(OR($P$2=98,$P$2=42,$P$2=96,$P$2=97),$Q94,0)</f>
        <v>0</v>
      </c>
      <c r="K94" s="1083"/>
      <c r="L94" s="1090">
        <f>+IF($P$2=33,$Q94,0)</f>
        <v>0</v>
      </c>
      <c r="M94" s="1083"/>
      <c r="N94" s="1120">
        <f>+ROUND(+G94+J94+L94,0)</f>
        <v>0</v>
      </c>
      <c r="O94" s="1085"/>
      <c r="P94" s="1089">
        <f>+ROUND(+SUM(OTCHET!E478:E479),0)</f>
        <v>0</v>
      </c>
      <c r="Q94" s="1090">
        <f>+ROUND(+SUM(OTCHET!L478:L479),0)</f>
        <v>0</v>
      </c>
      <c r="R94" s="1034"/>
      <c r="S94" s="1874" t="s">
        <v>1123</v>
      </c>
      <c r="T94" s="1875"/>
      <c r="U94" s="1876"/>
      <c r="V94" s="1064"/>
      <c r="W94" s="1005"/>
      <c r="X94" s="1005"/>
      <c r="Y94" s="1005"/>
      <c r="Z94" s="1005"/>
    </row>
    <row r="95" spans="1:26" s="1006" customFormat="1" ht="15.75">
      <c r="A95" s="1077"/>
      <c r="B95" s="1110" t="s">
        <v>1124</v>
      </c>
      <c r="C95" s="1111"/>
      <c r="D95" s="1112"/>
      <c r="E95" s="1007"/>
      <c r="F95" s="1113">
        <f>+ROUND(+SUM(F91:F94),0)</f>
        <v>0</v>
      </c>
      <c r="G95" s="1114">
        <f>+ROUND(+SUM(G91:G94),0)</f>
        <v>0</v>
      </c>
      <c r="H95" s="1007"/>
      <c r="I95" s="1113">
        <f>+ROUND(+SUM(I91:I94),0)</f>
        <v>0</v>
      </c>
      <c r="J95" s="1114">
        <f>+ROUND(+SUM(J91:J94),0)</f>
        <v>0</v>
      </c>
      <c r="K95" s="1083"/>
      <c r="L95" s="1114">
        <f>+ROUND(+SUM(L91:L94),0)</f>
        <v>0</v>
      </c>
      <c r="M95" s="1083"/>
      <c r="N95" s="1115">
        <f>+ROUND(+SUM(N91:N94),0)</f>
        <v>0</v>
      </c>
      <c r="O95" s="1085"/>
      <c r="P95" s="1113">
        <f>+ROUND(+SUM(P91:P94),0)</f>
        <v>0</v>
      </c>
      <c r="Q95" s="1114">
        <f>+ROUND(+SUM(Q91:Q94),0)</f>
        <v>0</v>
      </c>
      <c r="R95" s="1034"/>
      <c r="S95" s="1844" t="s">
        <v>1125</v>
      </c>
      <c r="T95" s="1845"/>
      <c r="U95" s="1846"/>
      <c r="V95" s="1064"/>
      <c r="W95" s="1005"/>
      <c r="X95" s="1005"/>
      <c r="Y95" s="1005"/>
      <c r="Z95" s="1005"/>
    </row>
    <row r="96" spans="1:26" s="1006" customFormat="1" ht="15.75">
      <c r="A96" s="1077"/>
      <c r="B96" s="1086" t="s">
        <v>1126</v>
      </c>
      <c r="C96" s="1087"/>
      <c r="D96" s="1088"/>
      <c r="E96" s="1007"/>
      <c r="F96" s="1081"/>
      <c r="G96" s="1082"/>
      <c r="H96" s="1007"/>
      <c r="I96" s="1081"/>
      <c r="J96" s="1082"/>
      <c r="K96" s="1083"/>
      <c r="L96" s="1082"/>
      <c r="M96" s="1083"/>
      <c r="N96" s="1116"/>
      <c r="O96" s="1085"/>
      <c r="P96" s="1081"/>
      <c r="Q96" s="1082"/>
      <c r="R96" s="1034"/>
      <c r="S96" s="1086" t="s">
        <v>1126</v>
      </c>
      <c r="T96" s="1087"/>
      <c r="U96" s="1088"/>
      <c r="V96" s="1064"/>
      <c r="W96" s="1005"/>
      <c r="X96" s="1005"/>
      <c r="Y96" s="1005"/>
      <c r="Z96" s="1005"/>
    </row>
    <row r="97" spans="1:26" s="1006" customFormat="1" ht="15.75">
      <c r="A97" s="1077"/>
      <c r="B97" s="1092" t="s">
        <v>1127</v>
      </c>
      <c r="C97" s="1093"/>
      <c r="D97" s="1094"/>
      <c r="E97" s="1007"/>
      <c r="F97" s="1095">
        <f>+IF($P$2=0,$P97,0)</f>
        <v>0</v>
      </c>
      <c r="G97" s="1096">
        <f>+IF($P$2=0,$Q97,0)</f>
        <v>0</v>
      </c>
      <c r="H97" s="1007"/>
      <c r="I97" s="1095">
        <f>+IF(OR($P$2=98,$P$2=42,$P$2=96,$P$2=97),$P97,0)</f>
        <v>0</v>
      </c>
      <c r="J97" s="1096">
        <f>+IF(OR($P$2=98,$P$2=42,$P$2=96,$P$2=97),$Q97,0)</f>
        <v>0</v>
      </c>
      <c r="K97" s="1083"/>
      <c r="L97" s="1096">
        <f>+IF($P$2=33,$Q97,0)</f>
        <v>0</v>
      </c>
      <c r="M97" s="1083"/>
      <c r="N97" s="1097">
        <f>+ROUND(+G97+J97+L97,0)</f>
        <v>0</v>
      </c>
      <c r="O97" s="1085"/>
      <c r="P97" s="1095">
        <f>+ROUND(OTCHET!E539+OTCHET!E544,0)</f>
        <v>0</v>
      </c>
      <c r="Q97" s="1096">
        <f>+ROUND(OTCHET!L539+OTCHET!L544,0)</f>
        <v>0</v>
      </c>
      <c r="R97" s="1034"/>
      <c r="S97" s="1847" t="s">
        <v>1128</v>
      </c>
      <c r="T97" s="1848"/>
      <c r="U97" s="1849"/>
      <c r="V97" s="1064"/>
      <c r="W97" s="1005"/>
      <c r="X97" s="1005"/>
      <c r="Y97" s="1005"/>
      <c r="Z97" s="1005"/>
    </row>
    <row r="98" spans="1:26" s="1006" customFormat="1" ht="15.75">
      <c r="A98" s="1077"/>
      <c r="B98" s="1104" t="s">
        <v>1129</v>
      </c>
      <c r="C98" s="1105"/>
      <c r="D98" s="1106"/>
      <c r="E98" s="1007"/>
      <c r="F98" s="1107">
        <f>+IF($P$2=0,$P98,0)</f>
        <v>0</v>
      </c>
      <c r="G98" s="1108">
        <f>+IF($P$2=0,$Q98,0)</f>
        <v>0</v>
      </c>
      <c r="H98" s="1007"/>
      <c r="I98" s="1107">
        <f>+IF(OR($P$2=98,$P$2=42,$P$2=96,$P$2=97),$P98,0)</f>
        <v>0</v>
      </c>
      <c r="J98" s="1108">
        <f>+IF(OR($P$2=98,$P$2=42,$P$2=96,$P$2=97),$Q98,0)</f>
        <v>0</v>
      </c>
      <c r="K98" s="1083"/>
      <c r="L98" s="1108">
        <f>+IF($P$2=33,$Q98,0)</f>
        <v>0</v>
      </c>
      <c r="M98" s="1083"/>
      <c r="N98" s="1109">
        <f>+ROUND(+G98+J98+L98,0)</f>
        <v>0</v>
      </c>
      <c r="O98" s="1085"/>
      <c r="P98" s="1107">
        <f>+ROUND(+OTCHET!E480+OTCHET!E561+OTCHET!E563,0)</f>
        <v>0</v>
      </c>
      <c r="Q98" s="1108">
        <f>+ROUND(+OTCHET!L480+OTCHET!L561+OTCHET!L563,0)</f>
        <v>0</v>
      </c>
      <c r="R98" s="1034"/>
      <c r="S98" s="1850" t="s">
        <v>1130</v>
      </c>
      <c r="T98" s="1851"/>
      <c r="U98" s="1852"/>
      <c r="V98" s="1064"/>
      <c r="W98" s="1005"/>
      <c r="X98" s="1005"/>
      <c r="Y98" s="1005"/>
      <c r="Z98" s="1005"/>
    </row>
    <row r="99" spans="1:26" s="1006" customFormat="1" ht="15.75">
      <c r="A99" s="1077"/>
      <c r="B99" s="1110" t="s">
        <v>1131</v>
      </c>
      <c r="C99" s="1111"/>
      <c r="D99" s="1112"/>
      <c r="E99" s="1007"/>
      <c r="F99" s="1113">
        <f>+ROUND(+SUM(F97:F98),0)</f>
        <v>0</v>
      </c>
      <c r="G99" s="1114">
        <f>+ROUND(+SUM(G97:G98),0)</f>
        <v>0</v>
      </c>
      <c r="H99" s="1007"/>
      <c r="I99" s="1113">
        <f>+ROUND(+SUM(I97:I98),0)</f>
        <v>0</v>
      </c>
      <c r="J99" s="1114">
        <f>+ROUND(+SUM(J97:J98),0)</f>
        <v>0</v>
      </c>
      <c r="K99" s="1083"/>
      <c r="L99" s="1114">
        <f>+ROUND(+SUM(L97:L98),0)</f>
        <v>0</v>
      </c>
      <c r="M99" s="1083"/>
      <c r="N99" s="1115">
        <f>+ROUND(+SUM(N97:N98),0)</f>
        <v>0</v>
      </c>
      <c r="O99" s="1085"/>
      <c r="P99" s="1113">
        <f>+ROUND(+SUM(P97:P98),0)</f>
        <v>0</v>
      </c>
      <c r="Q99" s="1114">
        <f>+ROUND(+SUM(Q97:Q98),0)</f>
        <v>0</v>
      </c>
      <c r="R99" s="1034"/>
      <c r="S99" s="1844" t="s">
        <v>1132</v>
      </c>
      <c r="T99" s="1845"/>
      <c r="U99" s="1846"/>
      <c r="V99" s="1064"/>
      <c r="W99" s="1005"/>
      <c r="X99" s="1005"/>
      <c r="Y99" s="1005"/>
      <c r="Z99" s="1005"/>
    </row>
    <row r="100" spans="1:26" s="1006" customFormat="1" ht="8.25" customHeight="1">
      <c r="A100" s="1077"/>
      <c r="B100" s="1180"/>
      <c r="C100" s="1118"/>
      <c r="D100" s="1119"/>
      <c r="E100" s="1007"/>
      <c r="F100" s="1095"/>
      <c r="G100" s="1096"/>
      <c r="H100" s="1007"/>
      <c r="I100" s="1095"/>
      <c r="J100" s="1096"/>
      <c r="K100" s="1083"/>
      <c r="L100" s="1096"/>
      <c r="M100" s="1083"/>
      <c r="N100" s="1097"/>
      <c r="O100" s="1085"/>
      <c r="P100" s="1095"/>
      <c r="Q100" s="1096"/>
      <c r="R100" s="1034"/>
      <c r="S100" s="1181"/>
      <c r="T100" s="1182"/>
      <c r="U100" s="1183"/>
      <c r="V100" s="1064"/>
      <c r="W100" s="1005"/>
      <c r="X100" s="1005"/>
      <c r="Y100" s="1005"/>
      <c r="Z100" s="1005"/>
    </row>
    <row r="101" spans="1:26" s="1006" customFormat="1" ht="16.5" thickBot="1">
      <c r="A101" s="1077"/>
      <c r="B101" s="1184" t="s">
        <v>1133</v>
      </c>
      <c r="C101" s="1185"/>
      <c r="D101" s="1186"/>
      <c r="E101" s="1007"/>
      <c r="F101" s="1187">
        <f>+ROUND(F89+F95+F99,0)</f>
        <v>0</v>
      </c>
      <c r="G101" s="1188">
        <f>+ROUND(G89+G95+G99,0)</f>
        <v>0</v>
      </c>
      <c r="H101" s="1007"/>
      <c r="I101" s="1187">
        <f>+ROUND(I89+I95+I99,0)</f>
        <v>0</v>
      </c>
      <c r="J101" s="1188">
        <f>+ROUND(J89+J95+J99,0)</f>
        <v>0</v>
      </c>
      <c r="K101" s="1083"/>
      <c r="L101" s="1188">
        <f>+ROUND(L89+L95+L99,0)</f>
        <v>0</v>
      </c>
      <c r="M101" s="1083"/>
      <c r="N101" s="1189">
        <f>+ROUND(N89+N95+N99,0)</f>
        <v>0</v>
      </c>
      <c r="O101" s="1190"/>
      <c r="P101" s="1187">
        <f>+ROUND(P89+P95+P99,0)</f>
        <v>0</v>
      </c>
      <c r="Q101" s="1188">
        <f>+ROUND(Q89+Q95+Q99,0)</f>
        <v>0</v>
      </c>
      <c r="R101" s="1034"/>
      <c r="S101" s="1862" t="s">
        <v>1134</v>
      </c>
      <c r="T101" s="1863"/>
      <c r="U101" s="1864"/>
      <c r="V101" s="1064"/>
      <c r="W101" s="1005"/>
      <c r="X101" s="1005"/>
      <c r="Y101" s="1005"/>
      <c r="Z101" s="1005"/>
    </row>
    <row r="102" spans="1:26" s="1006" customFormat="1" ht="15.75">
      <c r="A102" s="1077"/>
      <c r="B102" s="1078" t="s">
        <v>1135</v>
      </c>
      <c r="C102" s="1079"/>
      <c r="D102" s="1080"/>
      <c r="E102" s="1007"/>
      <c r="F102" s="1089"/>
      <c r="G102" s="1090"/>
      <c r="H102" s="1007"/>
      <c r="I102" s="1089"/>
      <c r="J102" s="1090"/>
      <c r="K102" s="1083"/>
      <c r="L102" s="1090"/>
      <c r="M102" s="1083"/>
      <c r="N102" s="1120"/>
      <c r="O102" s="1085"/>
      <c r="P102" s="1089"/>
      <c r="Q102" s="1090"/>
      <c r="R102" s="1034"/>
      <c r="S102" s="1259" t="s">
        <v>1135</v>
      </c>
      <c r="T102" s="1260"/>
      <c r="U102" s="1261"/>
      <c r="V102" s="1064"/>
      <c r="W102" s="1005"/>
      <c r="X102" s="1005"/>
      <c r="Y102" s="1005"/>
      <c r="Z102" s="1005"/>
    </row>
    <row r="103" spans="1:26" s="1006" customFormat="1" ht="15.75">
      <c r="A103" s="1077"/>
      <c r="B103" s="1253" t="s">
        <v>1136</v>
      </c>
      <c r="C103" s="1254"/>
      <c r="D103" s="1255"/>
      <c r="E103" s="1007"/>
      <c r="F103" s="1095"/>
      <c r="G103" s="1096"/>
      <c r="H103" s="1007"/>
      <c r="I103" s="1095"/>
      <c r="J103" s="1096"/>
      <c r="K103" s="1083"/>
      <c r="L103" s="1096"/>
      <c r="M103" s="1083"/>
      <c r="N103" s="1097"/>
      <c r="O103" s="1085"/>
      <c r="P103" s="1095"/>
      <c r="Q103" s="1096"/>
      <c r="R103" s="1034"/>
      <c r="S103" s="1262" t="s">
        <v>1136</v>
      </c>
      <c r="T103" s="1263"/>
      <c r="U103" s="1264"/>
      <c r="V103" s="1064"/>
      <c r="W103" s="1005"/>
      <c r="X103" s="1005"/>
      <c r="Y103" s="1005"/>
      <c r="Z103" s="1005"/>
    </row>
    <row r="104" spans="1:26" s="1006" customFormat="1" ht="15.75">
      <c r="A104" s="1077"/>
      <c r="B104" s="1098" t="s">
        <v>1137</v>
      </c>
      <c r="C104" s="1099"/>
      <c r="D104" s="1100"/>
      <c r="E104" s="1007"/>
      <c r="F104" s="1101">
        <f>+IF($P$2=0,$P104,0)</f>
        <v>0</v>
      </c>
      <c r="G104" s="1102">
        <f>+IF($P$2=0,$Q104,0)</f>
        <v>0</v>
      </c>
      <c r="H104" s="1007"/>
      <c r="I104" s="1101">
        <f>+IF(OR($P$2=98,$P$2=42,$P$2=96,$P$2=97),$P104,0)</f>
        <v>0</v>
      </c>
      <c r="J104" s="1102">
        <f>+IF(OR($P$2=98,$P$2=42,$P$2=96,$P$2=97),$Q104,0)</f>
        <v>0</v>
      </c>
      <c r="K104" s="1083"/>
      <c r="L104" s="1102">
        <f>+IF($P$2=33,$Q104,0)</f>
        <v>0</v>
      </c>
      <c r="M104" s="1083"/>
      <c r="N104" s="1103">
        <f>+ROUND(+G104+J104+L104,0)</f>
        <v>0</v>
      </c>
      <c r="O104" s="1085"/>
      <c r="P104" s="1101">
        <f>+ROUND(OTCHET!E501+OTCHET!E502+OTCHET!E515,0)</f>
        <v>0</v>
      </c>
      <c r="Q104" s="1102">
        <f>+ROUND(OTCHET!L501+OTCHET!L502+OTCHET!L515,0)</f>
        <v>0</v>
      </c>
      <c r="R104" s="1034"/>
      <c r="S104" s="1847" t="s">
        <v>1138</v>
      </c>
      <c r="T104" s="1848"/>
      <c r="U104" s="1849"/>
      <c r="V104" s="1064"/>
      <c r="W104" s="1005"/>
      <c r="X104" s="1005"/>
      <c r="Y104" s="1005"/>
      <c r="Z104" s="1005"/>
    </row>
    <row r="105" spans="1:26" s="1006" customFormat="1" ht="15.75">
      <c r="A105" s="1077"/>
      <c r="B105" s="1104" t="s">
        <v>1139</v>
      </c>
      <c r="C105" s="1105"/>
      <c r="D105" s="1106"/>
      <c r="E105" s="1007"/>
      <c r="F105" s="1107">
        <f>+IF($P$2=0,$P105,0)</f>
        <v>0</v>
      </c>
      <c r="G105" s="1108">
        <f>+IF($P$2=0,$Q105,0)</f>
        <v>0</v>
      </c>
      <c r="H105" s="1007"/>
      <c r="I105" s="1107">
        <f>+IF(OR($P$2=98,$P$2=42,$P$2=96,$P$2=97),$P105,0)</f>
        <v>0</v>
      </c>
      <c r="J105" s="1108">
        <f>+IF(OR($P$2=98,$P$2=42,$P$2=96,$P$2=97),$Q105,0)</f>
        <v>0</v>
      </c>
      <c r="K105" s="1083"/>
      <c r="L105" s="1108">
        <f>+IF($P$2=33,$Q105,0)</f>
        <v>0</v>
      </c>
      <c r="M105" s="1083"/>
      <c r="N105" s="1109">
        <f>+ROUND(+G105+J105+L105,0)</f>
        <v>0</v>
      </c>
      <c r="O105" s="1085"/>
      <c r="P105" s="1107">
        <f>+ROUND(OTCHET!E503+OTCHET!E504+OTCHET!E519,0)</f>
        <v>0</v>
      </c>
      <c r="Q105" s="1108">
        <f>+ROUND(OTCHET!L503+OTCHET!L504+OTCHET!L519,0)</f>
        <v>0</v>
      </c>
      <c r="R105" s="1034"/>
      <c r="S105" s="1850" t="s">
        <v>1140</v>
      </c>
      <c r="T105" s="1851"/>
      <c r="U105" s="1852"/>
      <c r="V105" s="1064"/>
      <c r="W105" s="1005"/>
      <c r="X105" s="1005"/>
      <c r="Y105" s="1005"/>
      <c r="Z105" s="1005"/>
    </row>
    <row r="106" spans="1:26" s="1006" customFormat="1" ht="15.75">
      <c r="A106" s="1077"/>
      <c r="B106" s="1192" t="s">
        <v>1141</v>
      </c>
      <c r="C106" s="1193"/>
      <c r="D106" s="1194"/>
      <c r="E106" s="1007"/>
      <c r="F106" s="1195">
        <f>+ROUND(+SUM(F104:F105),0)</f>
        <v>0</v>
      </c>
      <c r="G106" s="1196">
        <f>+ROUND(+SUM(G104:G105),0)</f>
        <v>0</v>
      </c>
      <c r="H106" s="1007"/>
      <c r="I106" s="1195">
        <f>+ROUND(+SUM(I104:I105),0)</f>
        <v>0</v>
      </c>
      <c r="J106" s="1196">
        <f>+ROUND(+SUM(J104:J105),0)</f>
        <v>0</v>
      </c>
      <c r="K106" s="1083"/>
      <c r="L106" s="1196">
        <f>+ROUND(+SUM(L104:L105),0)</f>
        <v>0</v>
      </c>
      <c r="M106" s="1083"/>
      <c r="N106" s="1197">
        <f>+ROUND(+SUM(N104:N105),0)</f>
        <v>0</v>
      </c>
      <c r="O106" s="1085"/>
      <c r="P106" s="1195">
        <f>+ROUND(+SUM(P104:P105),0)</f>
        <v>0</v>
      </c>
      <c r="Q106" s="1196">
        <f>+ROUND(+SUM(Q104:Q105),0)</f>
        <v>0</v>
      </c>
      <c r="R106" s="1034"/>
      <c r="S106" s="1844" t="s">
        <v>1142</v>
      </c>
      <c r="T106" s="1845"/>
      <c r="U106" s="1846"/>
      <c r="V106" s="1064"/>
      <c r="W106" s="1005"/>
      <c r="X106" s="1005"/>
      <c r="Y106" s="1005"/>
      <c r="Z106" s="1005"/>
    </row>
    <row r="107" spans="1:26" s="1006" customFormat="1" ht="15.75">
      <c r="A107" s="1077"/>
      <c r="B107" s="1086" t="s">
        <v>1143</v>
      </c>
      <c r="C107" s="1087"/>
      <c r="D107" s="1088"/>
      <c r="E107" s="1007"/>
      <c r="F107" s="1081"/>
      <c r="G107" s="1082"/>
      <c r="H107" s="1007"/>
      <c r="I107" s="1081"/>
      <c r="J107" s="1082"/>
      <c r="K107" s="1083"/>
      <c r="L107" s="1082"/>
      <c r="M107" s="1083"/>
      <c r="N107" s="1116"/>
      <c r="O107" s="1085"/>
      <c r="P107" s="1081"/>
      <c r="Q107" s="1082"/>
      <c r="R107" s="1034"/>
      <c r="S107" s="1265" t="s">
        <v>1143</v>
      </c>
      <c r="T107" s="1266"/>
      <c r="U107" s="1267"/>
      <c r="V107" s="1064"/>
      <c r="W107" s="1005"/>
      <c r="X107" s="1005"/>
      <c r="Y107" s="1005"/>
      <c r="Z107" s="1005"/>
    </row>
    <row r="108" spans="1:26" s="1006" customFormat="1" ht="15.75">
      <c r="A108" s="1077"/>
      <c r="B108" s="1092" t="s">
        <v>1144</v>
      </c>
      <c r="C108" s="1093"/>
      <c r="D108" s="1094"/>
      <c r="E108" s="1007"/>
      <c r="F108" s="1095">
        <f>+IF($P$2=0,$P108,0)</f>
        <v>0</v>
      </c>
      <c r="G108" s="1096">
        <f>+IF($P$2=0,$Q108,0)</f>
        <v>0</v>
      </c>
      <c r="H108" s="1007"/>
      <c r="I108" s="1095">
        <f>+IF(OR($P$2=98,$P$2=42,$P$2=96,$P$2=97),$P108,0)</f>
        <v>0</v>
      </c>
      <c r="J108" s="1096">
        <f>+IF(OR($P$2=98,$P$2=42,$P$2=96,$P$2=97),$Q108,0)</f>
        <v>0</v>
      </c>
      <c r="K108" s="1083"/>
      <c r="L108" s="1096">
        <f>+IF($P$2=33,$Q108,0)</f>
        <v>0</v>
      </c>
      <c r="M108" s="1083"/>
      <c r="N108" s="1097">
        <f>+ROUND(+G108+J108+L108,0)</f>
        <v>0</v>
      </c>
      <c r="O108" s="1085"/>
      <c r="P108" s="1095">
        <f>+ROUND(OTCHET!E485+OTCHET!E486+OTCHET!E489+OTCHET!E490+OTCHET!E493+OTCHET!E494+OTCHET!E498+OTCHET!E507+OTCHET!E508+OTCHET!E511+OTCHET!E512,0)</f>
        <v>0</v>
      </c>
      <c r="Q108" s="1096">
        <f>+ROUND(OTCHET!L485+OTCHET!L486+OTCHET!L489+OTCHET!L490+OTCHET!L493+OTCHET!L494+OTCHET!L498+OTCHET!L507+OTCHET!L508+OTCHET!L511+OTCHET!L512,0)</f>
        <v>0</v>
      </c>
      <c r="R108" s="1034"/>
      <c r="S108" s="1865" t="s">
        <v>1145</v>
      </c>
      <c r="T108" s="1866"/>
      <c r="U108" s="1867"/>
      <c r="V108" s="1064"/>
      <c r="W108" s="1005"/>
      <c r="X108" s="1005"/>
      <c r="Y108" s="1005"/>
      <c r="Z108" s="1005"/>
    </row>
    <row r="109" spans="1:26" s="1006" customFormat="1" ht="15.75">
      <c r="A109" s="1077"/>
      <c r="B109" s="1104" t="s">
        <v>1146</v>
      </c>
      <c r="C109" s="1105"/>
      <c r="D109" s="1106"/>
      <c r="E109" s="1007"/>
      <c r="F109" s="1107">
        <f>+IF($P$2=0,$P109,0)</f>
        <v>0</v>
      </c>
      <c r="G109" s="1108">
        <f>+IF($P$2=0,$Q109,0)</f>
        <v>0</v>
      </c>
      <c r="H109" s="1007"/>
      <c r="I109" s="1107">
        <f>+IF(OR($P$2=98,$P$2=42,$P$2=96,$P$2=97),$P109,0)</f>
        <v>0</v>
      </c>
      <c r="J109" s="1108">
        <f>+IF(OR($P$2=98,$P$2=42,$P$2=96,$P$2=97),$Q109,0)</f>
        <v>0</v>
      </c>
      <c r="K109" s="1083"/>
      <c r="L109" s="1108">
        <f>+IF($P$2=33,$Q109,0)</f>
        <v>0</v>
      </c>
      <c r="M109" s="1083"/>
      <c r="N109" s="1109">
        <f>+ROUND(+G109+J109+L109,0)</f>
        <v>0</v>
      </c>
      <c r="O109" s="1085"/>
      <c r="P109" s="1107">
        <f>+ROUND(OTCHET!E487+OTCHET!E488+OTCHET!E491+OTCHET!E492+OTCHET!E495+OTCHET!E496+OTCHET!E499+OTCHET!E509+OTCHET!E510+OTCHET!E513+OTCHET!E514+IF(+OTCHET!E497&lt;0,+OTCHET!E497,0),0)</f>
        <v>0</v>
      </c>
      <c r="Q109" s="1108">
        <f>+ROUND(OTCHET!L487+OTCHET!L488+OTCHET!L491+OTCHET!L492+OTCHET!L495+OTCHET!L496+OTCHET!L499+OTCHET!L509+OTCHET!L510+OTCHET!L513+OTCHET!L514+IF(+OTCHET!L497&lt;0,+OTCHET!L497,0),0)</f>
        <v>0</v>
      </c>
      <c r="R109" s="1034"/>
      <c r="S109" s="1868" t="s">
        <v>1147</v>
      </c>
      <c r="T109" s="1869"/>
      <c r="U109" s="1870"/>
      <c r="V109" s="1064"/>
      <c r="W109" s="1005"/>
      <c r="X109" s="1005"/>
      <c r="Y109" s="1005"/>
      <c r="Z109" s="1005"/>
    </row>
    <row r="110" spans="1:26" s="1006" customFormat="1" ht="15.75">
      <c r="A110" s="1077"/>
      <c r="B110" s="1192" t="s">
        <v>1148</v>
      </c>
      <c r="C110" s="1193"/>
      <c r="D110" s="1194"/>
      <c r="E110" s="1007"/>
      <c r="F110" s="1195">
        <f>+ROUND(+SUM(F108:F109),0)</f>
        <v>0</v>
      </c>
      <c r="G110" s="1196">
        <f>+ROUND(+SUM(G108:G109),0)</f>
        <v>0</v>
      </c>
      <c r="H110" s="1007"/>
      <c r="I110" s="1195">
        <f>+ROUND(+SUM(I108:I109),0)</f>
        <v>0</v>
      </c>
      <c r="J110" s="1196">
        <f>+ROUND(+SUM(J108:J109),0)</f>
        <v>0</v>
      </c>
      <c r="K110" s="1083"/>
      <c r="L110" s="1196">
        <f>+ROUND(+SUM(L108:L109),0)</f>
        <v>0</v>
      </c>
      <c r="M110" s="1083"/>
      <c r="N110" s="1197">
        <f>+ROUND(+SUM(N108:N109),0)</f>
        <v>0</v>
      </c>
      <c r="O110" s="1085"/>
      <c r="P110" s="1195">
        <f>+ROUND(+SUM(P108:P109),0)</f>
        <v>0</v>
      </c>
      <c r="Q110" s="1196">
        <f>+ROUND(+SUM(Q108:Q109),0)</f>
        <v>0</v>
      </c>
      <c r="R110" s="1034"/>
      <c r="S110" s="1844" t="s">
        <v>1149</v>
      </c>
      <c r="T110" s="1845"/>
      <c r="U110" s="1846"/>
      <c r="V110" s="1064"/>
      <c r="W110" s="1005"/>
      <c r="X110" s="1005"/>
      <c r="Y110" s="1005"/>
      <c r="Z110" s="1005"/>
    </row>
    <row r="111" spans="1:26" s="1006" customFormat="1" ht="15.75">
      <c r="A111" s="1077"/>
      <c r="B111" s="1086" t="s">
        <v>1150</v>
      </c>
      <c r="C111" s="1087"/>
      <c r="D111" s="1088"/>
      <c r="E111" s="1007"/>
      <c r="F111" s="1081"/>
      <c r="G111" s="1082"/>
      <c r="H111" s="1007"/>
      <c r="I111" s="1081"/>
      <c r="J111" s="1082"/>
      <c r="K111" s="1083"/>
      <c r="L111" s="1082"/>
      <c r="M111" s="1083"/>
      <c r="N111" s="1116"/>
      <c r="O111" s="1085"/>
      <c r="P111" s="1081"/>
      <c r="Q111" s="1082"/>
      <c r="R111" s="1034"/>
      <c r="S111" s="1265" t="s">
        <v>1150</v>
      </c>
      <c r="T111" s="1266"/>
      <c r="U111" s="1267"/>
      <c r="V111" s="1064"/>
      <c r="W111" s="1005"/>
      <c r="X111" s="1005"/>
      <c r="Y111" s="1005"/>
      <c r="Z111" s="1005"/>
    </row>
    <row r="112" spans="1:26" s="1006" customFormat="1" ht="15.75">
      <c r="A112" s="1077"/>
      <c r="B112" s="1092" t="s">
        <v>1151</v>
      </c>
      <c r="C112" s="1093"/>
      <c r="D112" s="1094"/>
      <c r="E112" s="1007"/>
      <c r="F112" s="1095">
        <f>+IF($P$2=0,$P112,0)</f>
        <v>0</v>
      </c>
      <c r="G112" s="1096">
        <f>+IF($P$2=0,$Q112,0)</f>
        <v>0</v>
      </c>
      <c r="H112" s="1007"/>
      <c r="I112" s="1095">
        <f>+IF(OR($P$2=98,$P$2=42,$P$2=96,$P$2=97),$P112,0)</f>
        <v>0</v>
      </c>
      <c r="J112" s="1096">
        <f>+IF(OR($P$2=98,$P$2=42,$P$2=96,$P$2=97),$Q112,0)</f>
        <v>0</v>
      </c>
      <c r="K112" s="1083"/>
      <c r="L112" s="1096">
        <f>+IF($P$2=33,$Q112,0)</f>
        <v>0</v>
      </c>
      <c r="M112" s="1083"/>
      <c r="N112" s="1097">
        <f>+ROUND(+G112+J112+L112,0)</f>
        <v>0</v>
      </c>
      <c r="O112" s="1085"/>
      <c r="P112" s="1095">
        <f>+ROUND(OTCHET!E550,0)</f>
        <v>0</v>
      </c>
      <c r="Q112" s="1096">
        <f>+ROUND(OTCHET!L550,0)</f>
        <v>0</v>
      </c>
      <c r="R112" s="1034"/>
      <c r="S112" s="1847" t="s">
        <v>1152</v>
      </c>
      <c r="T112" s="1848"/>
      <c r="U112" s="1849"/>
      <c r="V112" s="1064"/>
      <c r="W112" s="1005"/>
      <c r="X112" s="1005"/>
      <c r="Y112" s="1005"/>
      <c r="Z112" s="1005"/>
    </row>
    <row r="113" spans="1:26" s="1006" customFormat="1" ht="15.75">
      <c r="A113" s="1077"/>
      <c r="B113" s="1104" t="s">
        <v>1153</v>
      </c>
      <c r="C113" s="1105"/>
      <c r="D113" s="1106"/>
      <c r="E113" s="1007"/>
      <c r="F113" s="1107">
        <f>+IF($P$2=0,$P113,0)</f>
        <v>0</v>
      </c>
      <c r="G113" s="1108">
        <f>+IF($P$2=0,$Q113,0)</f>
        <v>0</v>
      </c>
      <c r="H113" s="1007"/>
      <c r="I113" s="1107">
        <f>+IF(OR($P$2=98,$P$2=42,$P$2=96,$P$2=97),$P113,0)</f>
        <v>0</v>
      </c>
      <c r="J113" s="1108">
        <f>+IF(OR($P$2=98,$P$2=42,$P$2=96,$P$2=97),$Q113,0)</f>
        <v>0</v>
      </c>
      <c r="K113" s="1083"/>
      <c r="L113" s="1108">
        <f>+IF($P$2=33,$Q113,0)</f>
        <v>0</v>
      </c>
      <c r="M113" s="1083"/>
      <c r="N113" s="1109">
        <f>+ROUND(+G113+J113+L113,0)</f>
        <v>0</v>
      </c>
      <c r="O113" s="1085"/>
      <c r="P113" s="1107">
        <f>+ROUND(OTCHET!E551,0)</f>
        <v>0</v>
      </c>
      <c r="Q113" s="1108">
        <f>+ROUND(OTCHET!L551,0)</f>
        <v>0</v>
      </c>
      <c r="R113" s="1034"/>
      <c r="S113" s="1850" t="s">
        <v>1154</v>
      </c>
      <c r="T113" s="1851"/>
      <c r="U113" s="1852"/>
      <c r="V113" s="1064"/>
      <c r="W113" s="1005"/>
      <c r="X113" s="1005"/>
      <c r="Y113" s="1005"/>
      <c r="Z113" s="1005"/>
    </row>
    <row r="114" spans="1:26" s="1006" customFormat="1" ht="15.75">
      <c r="A114" s="1077"/>
      <c r="B114" s="1192" t="s">
        <v>1155</v>
      </c>
      <c r="C114" s="1193"/>
      <c r="D114" s="1194"/>
      <c r="E114" s="1007"/>
      <c r="F114" s="1195">
        <f>+ROUND(+SUM(F112:F113),0)</f>
        <v>0</v>
      </c>
      <c r="G114" s="1196">
        <f>+ROUND(+SUM(G112:G113),0)</f>
        <v>0</v>
      </c>
      <c r="H114" s="1007"/>
      <c r="I114" s="1195">
        <f>+ROUND(+SUM(I112:I113),0)</f>
        <v>0</v>
      </c>
      <c r="J114" s="1196">
        <f>+ROUND(+SUM(J112:J113),0)</f>
        <v>0</v>
      </c>
      <c r="K114" s="1083"/>
      <c r="L114" s="1196">
        <f>+ROUND(+SUM(L112:L113),0)</f>
        <v>0</v>
      </c>
      <c r="M114" s="1083"/>
      <c r="N114" s="1197">
        <f>+ROUND(+SUM(N112:N113),0)</f>
        <v>0</v>
      </c>
      <c r="O114" s="1085"/>
      <c r="P114" s="1195">
        <f>+ROUND(+SUM(P112:P113),0)</f>
        <v>0</v>
      </c>
      <c r="Q114" s="1196">
        <f>+ROUND(+SUM(Q112:Q113),0)</f>
        <v>0</v>
      </c>
      <c r="R114" s="1034"/>
      <c r="S114" s="1844" t="s">
        <v>1156</v>
      </c>
      <c r="T114" s="1845"/>
      <c r="U114" s="1846"/>
      <c r="V114" s="1064"/>
      <c r="W114" s="1005"/>
      <c r="X114" s="1005"/>
      <c r="Y114" s="1005"/>
      <c r="Z114" s="1005"/>
    </row>
    <row r="115" spans="1:26" s="1006" customFormat="1" ht="15.75">
      <c r="A115" s="1077"/>
      <c r="B115" s="1086" t="s">
        <v>1157</v>
      </c>
      <c r="C115" s="1087"/>
      <c r="D115" s="1088"/>
      <c r="E115" s="1191"/>
      <c r="F115" s="1089"/>
      <c r="G115" s="1090"/>
      <c r="H115" s="1007"/>
      <c r="I115" s="1089"/>
      <c r="J115" s="1090"/>
      <c r="K115" s="1083"/>
      <c r="L115" s="1090"/>
      <c r="M115" s="1083"/>
      <c r="N115" s="1120"/>
      <c r="O115" s="1085"/>
      <c r="P115" s="1089"/>
      <c r="Q115" s="1090"/>
      <c r="R115" s="1034"/>
      <c r="S115" s="1265" t="s">
        <v>1157</v>
      </c>
      <c r="T115" s="1266"/>
      <c r="U115" s="1267"/>
      <c r="V115" s="1064"/>
      <c r="W115" s="1005"/>
      <c r="X115" s="1005"/>
      <c r="Y115" s="1005"/>
      <c r="Z115" s="1005"/>
    </row>
    <row r="116" spans="1:26" s="1006" customFormat="1" ht="15.75">
      <c r="A116" s="1077"/>
      <c r="B116" s="1092" t="s">
        <v>1158</v>
      </c>
      <c r="C116" s="1093"/>
      <c r="D116" s="1094"/>
      <c r="E116" s="1191"/>
      <c r="F116" s="1089">
        <f>+IF($P$2=0,$P116,0)</f>
        <v>0</v>
      </c>
      <c r="G116" s="1090">
        <f>+IF($P$2=0,$Q116,0)</f>
        <v>0</v>
      </c>
      <c r="H116" s="1007"/>
      <c r="I116" s="1089">
        <f>+IF(OR($P$2=98,$P$2=42,$P$2=96,$P$2=97),$P116,0)</f>
        <v>0</v>
      </c>
      <c r="J116" s="1090">
        <f>+IF(OR($P$2=98,$P$2=42,$P$2=96,$P$2=97),$Q116,0)</f>
        <v>0</v>
      </c>
      <c r="K116" s="1083"/>
      <c r="L116" s="1090">
        <f>+IF($P$2=33,$Q116,0)</f>
        <v>0</v>
      </c>
      <c r="M116" s="1083"/>
      <c r="N116" s="1120">
        <f>+ROUND(+G116+J116+L116,0)</f>
        <v>0</v>
      </c>
      <c r="O116" s="1085"/>
      <c r="P116" s="1089">
        <f>+ROUND(OTCHET!E548+OTCHET!E549+OTCHET!E565+OTCHET!E566,0)</f>
        <v>0</v>
      </c>
      <c r="Q116" s="1090">
        <f>+ROUND(OTCHET!L548+OTCHET!L549+OTCHET!L565+OTCHET!L566,0)</f>
        <v>0</v>
      </c>
      <c r="R116" s="1034"/>
      <c r="S116" s="1847" t="s">
        <v>1159</v>
      </c>
      <c r="T116" s="1848"/>
      <c r="U116" s="1849"/>
      <c r="V116" s="1064"/>
      <c r="W116" s="1005"/>
      <c r="X116" s="1005"/>
      <c r="Y116" s="1005"/>
      <c r="Z116" s="1005"/>
    </row>
    <row r="117" spans="1:26" s="1006" customFormat="1" ht="15.75">
      <c r="A117" s="1077"/>
      <c r="B117" s="1104" t="s">
        <v>1160</v>
      </c>
      <c r="C117" s="1105"/>
      <c r="D117" s="1106"/>
      <c r="E117" s="1007"/>
      <c r="F117" s="1107">
        <f>+IF($P$2=0,$P117,0)</f>
        <v>0</v>
      </c>
      <c r="G117" s="1108">
        <f>+IF($P$2=0,$Q117,0)</f>
        <v>0</v>
      </c>
      <c r="H117" s="1007"/>
      <c r="I117" s="1107">
        <f>+IF(OR($P$2=98,$P$2=42,$P$2=96,$P$2=97),$P117,0)</f>
        <v>0</v>
      </c>
      <c r="J117" s="1108">
        <f>+IF(OR($P$2=98,$P$2=42,$P$2=96,$P$2=97),$Q117,0)</f>
        <v>0</v>
      </c>
      <c r="K117" s="1083"/>
      <c r="L117" s="1108">
        <f>+IF($P$2=33,$Q117,0)</f>
        <v>0</v>
      </c>
      <c r="M117" s="1083"/>
      <c r="N117" s="1109">
        <f>+ROUND(+G117+J117+L117,0)</f>
        <v>0</v>
      </c>
      <c r="O117" s="1085"/>
      <c r="P117" s="1107">
        <f>+ROUND(OTCHET!E562+OTCHET!E564,0)</f>
        <v>0</v>
      </c>
      <c r="Q117" s="1108">
        <f>+ROUND(OTCHET!L562+OTCHET!L564,0)</f>
        <v>0</v>
      </c>
      <c r="R117" s="1034"/>
      <c r="S117" s="1850" t="s">
        <v>1161</v>
      </c>
      <c r="T117" s="1851"/>
      <c r="U117" s="1852"/>
      <c r="V117" s="1064"/>
      <c r="W117" s="1005"/>
      <c r="X117" s="1005"/>
      <c r="Y117" s="1005"/>
      <c r="Z117" s="1005"/>
    </row>
    <row r="118" spans="1:26" s="1006" customFormat="1" ht="15.75">
      <c r="A118" s="1077"/>
      <c r="B118" s="1192" t="s">
        <v>1162</v>
      </c>
      <c r="C118" s="1193"/>
      <c r="D118" s="1194"/>
      <c r="E118" s="1007"/>
      <c r="F118" s="1195">
        <f>+ROUND(+SUM(F116:F117),0)</f>
        <v>0</v>
      </c>
      <c r="G118" s="1196">
        <f>+ROUND(+SUM(G116:G117),0)</f>
        <v>0</v>
      </c>
      <c r="H118" s="1007"/>
      <c r="I118" s="1195">
        <f>+ROUND(+SUM(I116:I117),0)</f>
        <v>0</v>
      </c>
      <c r="J118" s="1196">
        <f>+ROUND(+SUM(J116:J117),0)</f>
        <v>0</v>
      </c>
      <c r="K118" s="1083"/>
      <c r="L118" s="1196">
        <f>+ROUND(+SUM(L116:L117),0)</f>
        <v>0</v>
      </c>
      <c r="M118" s="1083"/>
      <c r="N118" s="1197">
        <f>+ROUND(+SUM(N116:N117),0)</f>
        <v>0</v>
      </c>
      <c r="O118" s="1085"/>
      <c r="P118" s="1195">
        <f>+ROUND(+SUM(P116:P117),0)</f>
        <v>0</v>
      </c>
      <c r="Q118" s="1196">
        <f>+ROUND(+SUM(Q116:Q117),0)</f>
        <v>0</v>
      </c>
      <c r="R118" s="1034"/>
      <c r="S118" s="1844" t="s">
        <v>1163</v>
      </c>
      <c r="T118" s="1845"/>
      <c r="U118" s="1846"/>
      <c r="V118" s="1064"/>
      <c r="W118" s="1005"/>
      <c r="X118" s="1005"/>
      <c r="Y118" s="1005"/>
      <c r="Z118" s="1005"/>
    </row>
    <row r="119" spans="1:26" s="1006" customFormat="1" ht="8.25" customHeight="1">
      <c r="A119" s="1077"/>
      <c r="B119" s="1210"/>
      <c r="C119" s="1211"/>
      <c r="D119" s="1212"/>
      <c r="E119" s="1007"/>
      <c r="F119" s="1107"/>
      <c r="G119" s="1108"/>
      <c r="H119" s="1007"/>
      <c r="I119" s="1107"/>
      <c r="J119" s="1108"/>
      <c r="K119" s="1083"/>
      <c r="L119" s="1108"/>
      <c r="M119" s="1083"/>
      <c r="N119" s="1109"/>
      <c r="O119" s="1085"/>
      <c r="P119" s="1107"/>
      <c r="Q119" s="1108"/>
      <c r="R119" s="1034"/>
      <c r="S119" s="1213"/>
      <c r="T119" s="1214"/>
      <c r="U119" s="1215"/>
      <c r="V119" s="1064"/>
      <c r="W119" s="1005"/>
      <c r="X119" s="1005"/>
      <c r="Y119" s="1005"/>
      <c r="Z119" s="1005"/>
    </row>
    <row r="120" spans="1:26" s="1006" customFormat="1" ht="16.5" thickBot="1">
      <c r="A120" s="1077"/>
      <c r="B120" s="1216" t="s">
        <v>1164</v>
      </c>
      <c r="C120" s="1217"/>
      <c r="D120" s="1218"/>
      <c r="E120" s="1007"/>
      <c r="F120" s="1268">
        <f>+ROUND(F106+F110+F114+F118,0)</f>
        <v>0</v>
      </c>
      <c r="G120" s="1221">
        <f>+ROUND(G106+G110+G114+G118,0)</f>
        <v>0</v>
      </c>
      <c r="H120" s="1007"/>
      <c r="I120" s="1268">
        <f>+ROUND(I106+I110+I114+I118,0)</f>
        <v>0</v>
      </c>
      <c r="J120" s="1221">
        <f>+ROUND(J106+J110+J114+J118,0)</f>
        <v>0</v>
      </c>
      <c r="K120" s="1083"/>
      <c r="L120" s="1221">
        <f>+ROUND(L106+L110+L114+L118,0)</f>
        <v>0</v>
      </c>
      <c r="M120" s="1083"/>
      <c r="N120" s="1222">
        <f>+ROUND(N106+N110+N114+N118,0)</f>
        <v>0</v>
      </c>
      <c r="O120" s="1085"/>
      <c r="P120" s="1268">
        <f>+ROUND(P106+P110+P114+P118,0)</f>
        <v>0</v>
      </c>
      <c r="Q120" s="1221">
        <f>+ROUND(Q106+Q110+Q114+Q118,0)</f>
        <v>0</v>
      </c>
      <c r="R120" s="1034"/>
      <c r="S120" s="1853" t="s">
        <v>1165</v>
      </c>
      <c r="T120" s="1854"/>
      <c r="U120" s="1855"/>
      <c r="V120" s="1223"/>
      <c r="W120" s="1224"/>
      <c r="X120" s="1225"/>
      <c r="Y120" s="1224"/>
      <c r="Z120" s="1224"/>
    </row>
    <row r="121" spans="1:26" s="1006" customFormat="1" ht="15.75">
      <c r="A121" s="1077"/>
      <c r="B121" s="1078" t="s">
        <v>1166</v>
      </c>
      <c r="C121" s="1079"/>
      <c r="D121" s="1080"/>
      <c r="E121" s="1007"/>
      <c r="F121" s="1089"/>
      <c r="G121" s="1090"/>
      <c r="H121" s="1007"/>
      <c r="I121" s="1089"/>
      <c r="J121" s="1090"/>
      <c r="K121" s="1083"/>
      <c r="L121" s="1090"/>
      <c r="M121" s="1083"/>
      <c r="N121" s="1120"/>
      <c r="O121" s="1085"/>
      <c r="P121" s="1089"/>
      <c r="Q121" s="1090"/>
      <c r="R121" s="1034"/>
      <c r="S121" s="1259" t="s">
        <v>1166</v>
      </c>
      <c r="T121" s="1260"/>
      <c r="U121" s="1261"/>
      <c r="V121" s="1064"/>
      <c r="W121" s="1005"/>
      <c r="X121" s="1005"/>
      <c r="Y121" s="1005"/>
      <c r="Z121" s="1005"/>
    </row>
    <row r="122" spans="1:26" s="1006" customFormat="1" ht="15.75">
      <c r="A122" s="1077"/>
      <c r="B122" s="1092" t="s">
        <v>1167</v>
      </c>
      <c r="C122" s="1093"/>
      <c r="D122" s="1094"/>
      <c r="E122" s="1007"/>
      <c r="F122" s="1095">
        <f>+IF($P$2=0,$P122,0)</f>
        <v>0</v>
      </c>
      <c r="G122" s="1096">
        <f>+IF($P$2=0,$Q122,0)</f>
        <v>0</v>
      </c>
      <c r="H122" s="1007"/>
      <c r="I122" s="1095">
        <f>+IF(OR($P$2=98,$P$2=42,$P$2=96,$P$2=97),$P122,0)</f>
        <v>0</v>
      </c>
      <c r="J122" s="1096">
        <f>+IF(OR($P$2=98,$P$2=42,$P$2=96,$P$2=97),$Q122,0)</f>
        <v>0</v>
      </c>
      <c r="K122" s="1083"/>
      <c r="L122" s="1096">
        <f>+IF($P$2=33,$Q122,0)</f>
        <v>0</v>
      </c>
      <c r="M122" s="1083"/>
      <c r="N122" s="1097">
        <f>+ROUND(+G122+J122+L122,0)</f>
        <v>0</v>
      </c>
      <c r="O122" s="1085"/>
      <c r="P122" s="1095">
        <f>+ROUND(+SUM(OTCHET!E552:E559),0)</f>
        <v>0</v>
      </c>
      <c r="Q122" s="1096">
        <f>+ROUND(+SUM(OTCHET!L552:L559),0)</f>
        <v>0</v>
      </c>
      <c r="R122" s="1034"/>
      <c r="S122" s="1847" t="s">
        <v>1168</v>
      </c>
      <c r="T122" s="1848"/>
      <c r="U122" s="1849"/>
      <c r="V122" s="1064"/>
      <c r="W122" s="1005"/>
      <c r="X122" s="1005"/>
      <c r="Y122" s="1005"/>
      <c r="Z122" s="1005"/>
    </row>
    <row r="123" spans="1:26" s="1006" customFormat="1" ht="15.75">
      <c r="A123" s="1077"/>
      <c r="B123" s="1098" t="s">
        <v>1169</v>
      </c>
      <c r="C123" s="1099"/>
      <c r="D123" s="1100"/>
      <c r="E123" s="1007"/>
      <c r="F123" s="1107">
        <f>+IF($P$2=0,$P123,0)</f>
        <v>0</v>
      </c>
      <c r="G123" s="1108">
        <f>+IF($P$2=0,$Q123,0)</f>
        <v>7723</v>
      </c>
      <c r="H123" s="1007"/>
      <c r="I123" s="1107">
        <f>+IF(OR($P$2=98,$P$2=42,$P$2=96,$P$2=97),$P123,0)</f>
        <v>0</v>
      </c>
      <c r="J123" s="1108">
        <f>+IF(OR($P$2=98,$P$2=42,$P$2=96,$P$2=97),$Q123,0)</f>
        <v>0</v>
      </c>
      <c r="K123" s="1083"/>
      <c r="L123" s="1108">
        <f>+IF($P$2=33,$Q123,0)</f>
        <v>0</v>
      </c>
      <c r="M123" s="1083"/>
      <c r="N123" s="1109">
        <f>+ROUND(+G123+J123+L123,0)</f>
        <v>7723</v>
      </c>
      <c r="O123" s="1085"/>
      <c r="P123" s="1107">
        <f>+ROUND(OTCHET!E527,0)</f>
        <v>0</v>
      </c>
      <c r="Q123" s="1108">
        <f>+ROUND(OTCHET!L527,0)</f>
        <v>7723</v>
      </c>
      <c r="R123" s="1034"/>
      <c r="S123" s="1359" t="s">
        <v>1170</v>
      </c>
      <c r="T123" s="1360"/>
      <c r="U123" s="1361"/>
      <c r="V123" s="1064"/>
      <c r="W123" s="1005"/>
      <c r="X123" s="1005"/>
      <c r="Y123" s="1005"/>
      <c r="Z123" s="1005"/>
    </row>
    <row r="124" spans="1:26" s="1006" customFormat="1" ht="15.75">
      <c r="A124" s="1077"/>
      <c r="B124" s="1098" t="s">
        <v>1171</v>
      </c>
      <c r="C124" s="1099"/>
      <c r="D124" s="1100"/>
      <c r="E124" s="1007"/>
      <c r="F124" s="1107">
        <f>+IF($P$2=0,$P124,0)</f>
        <v>0</v>
      </c>
      <c r="G124" s="1108">
        <f>+IF($P$2=0,$Q124,0)</f>
        <v>0</v>
      </c>
      <c r="H124" s="1007"/>
      <c r="I124" s="1107">
        <f>+IF(OR($P$2=98,$P$2=42,$P$2=96,$P$2=97),$P124,0)</f>
        <v>0</v>
      </c>
      <c r="J124" s="1108">
        <f>+IF(OR($P$2=98,$P$2=42,$P$2=96,$P$2=97),$Q124,0)</f>
        <v>0</v>
      </c>
      <c r="K124" s="1083"/>
      <c r="L124" s="1108">
        <f>+IF($P$2=33,$Q124,0)</f>
        <v>0</v>
      </c>
      <c r="M124" s="1083"/>
      <c r="N124" s="1109">
        <f>+ROUND(+G124+J124+L124,0)</f>
        <v>0</v>
      </c>
      <c r="O124" s="1085"/>
      <c r="P124" s="1107">
        <f>+ROUND(+OTCHET!E524+OTCHET!E534+OTCHET!E560+OTCHET!E567+OTCHET!E568+OTCHET!E582+OTCHET!E594+IF(AND(OTCHET!$F$12=9900,+OTCHET!$E$15=0),+OTCHET!E589,0),0)</f>
        <v>0</v>
      </c>
      <c r="Q124" s="1108">
        <f>+ROUND(+OTCHET!L524+OTCHET!L534+OTCHET!L560+OTCHET!L567+OTCHET!L568+OTCHET!L582+OTCHET!L594+IF(AND(OTCHET!$F$12=9900,+OTCHET!$E$15=0),+OTCHET!L589,0),0)</f>
        <v>0</v>
      </c>
      <c r="R124" s="1034"/>
      <c r="S124" s="1850" t="s">
        <v>1172</v>
      </c>
      <c r="T124" s="1851"/>
      <c r="U124" s="1852"/>
      <c r="V124" s="1064"/>
      <c r="W124" s="1005"/>
      <c r="X124" s="1005"/>
      <c r="Y124" s="1005"/>
      <c r="Z124" s="1005"/>
    </row>
    <row r="125" spans="1:26" s="1006" customFormat="1" ht="4.5" customHeight="1">
      <c r="A125" s="1077"/>
      <c r="B125" s="1689" t="s">
        <v>2030</v>
      </c>
      <c r="C125" s="1690"/>
      <c r="D125" s="1691"/>
      <c r="E125" s="1007"/>
      <c r="F125" s="1692">
        <f>+IF($P$2=0,$P125,0)</f>
        <v>0</v>
      </c>
      <c r="G125" s="1693">
        <f>+IF($P$2=0,$Q125,0)</f>
        <v>0</v>
      </c>
      <c r="H125" s="1007"/>
      <c r="I125" s="1692"/>
      <c r="J125" s="1693"/>
      <c r="K125" s="1083"/>
      <c r="L125" s="1693"/>
      <c r="M125" s="1083"/>
      <c r="N125" s="1694">
        <f>+ROUND(+G125+J125+L125,0)</f>
        <v>0</v>
      </c>
      <c r="O125" s="1085"/>
      <c r="P125" s="1692">
        <f>+ROUND(+IF(AND(OTCHET!$F$12="9900",+OTCHET!$E$15=0,+(OTCHET!E592+OTCHET!E593)&gt;0,+(OTCHET!E590+OTCHET!E591)&lt;0),+OTCHET!E589,0),0)</f>
        <v>0</v>
      </c>
      <c r="Q125" s="1693">
        <f>+ROUND(+IF(AND(OTCHET!$F$12="9900",+OTCHET!$E$15=0,+(OTCHET!L592+OTCHET!L593)&gt;=0,+(OTCHET!L590+OTCHET!L591)&lt;=0),+OTCHET!L589,0),0)</f>
        <v>0</v>
      </c>
      <c r="R125" s="1034"/>
      <c r="S125" s="1695" t="s">
        <v>2031</v>
      </c>
      <c r="T125" s="1696"/>
      <c r="U125" s="1697"/>
      <c r="V125" s="1064"/>
      <c r="W125" s="1005"/>
      <c r="X125" s="1005"/>
      <c r="Y125" s="1005"/>
      <c r="Z125" s="1005"/>
    </row>
    <row r="126" spans="1:26" s="1006" customFormat="1" ht="15.75">
      <c r="A126" s="1077"/>
      <c r="B126" s="1269" t="s">
        <v>1173</v>
      </c>
      <c r="C126" s="1270"/>
      <c r="D126" s="1271"/>
      <c r="E126" s="1007"/>
      <c r="F126" s="1272"/>
      <c r="G126" s="1273"/>
      <c r="H126" s="1007"/>
      <c r="I126" s="1272"/>
      <c r="J126" s="1273"/>
      <c r="K126" s="1083"/>
      <c r="L126" s="1273"/>
      <c r="M126" s="1083"/>
      <c r="N126" s="1274">
        <f>+ROUND(+G126+J126+L126,0)</f>
        <v>0</v>
      </c>
      <c r="O126" s="1085"/>
      <c r="P126" s="1272"/>
      <c r="Q126" s="1273"/>
      <c r="R126" s="1034"/>
      <c r="S126" s="1856" t="s">
        <v>1174</v>
      </c>
      <c r="T126" s="1857"/>
      <c r="U126" s="1858"/>
      <c r="V126" s="1064"/>
      <c r="W126" s="1005"/>
      <c r="X126" s="1005"/>
      <c r="Y126" s="1005"/>
      <c r="Z126" s="1005"/>
    </row>
    <row r="127" spans="1:26" s="1006" customFormat="1" ht="16.5" thickBot="1">
      <c r="A127" s="1077"/>
      <c r="B127" s="1275" t="s">
        <v>1175</v>
      </c>
      <c r="C127" s="1227"/>
      <c r="D127" s="1228"/>
      <c r="E127" s="1007"/>
      <c r="F127" s="1229">
        <f>+ROUND(+SUM(F122:F126),0)</f>
        <v>0</v>
      </c>
      <c r="G127" s="1230">
        <f>+ROUND(+SUM(G122:G126),0)</f>
        <v>7723</v>
      </c>
      <c r="H127" s="1007"/>
      <c r="I127" s="1229">
        <f>+ROUND(+SUM(I122:I126),0)</f>
        <v>0</v>
      </c>
      <c r="J127" s="1230">
        <f>+ROUND(+SUM(J122:J126),0)</f>
        <v>0</v>
      </c>
      <c r="K127" s="1083"/>
      <c r="L127" s="1230">
        <f>+ROUND(+SUM(L122:L126),0)</f>
        <v>0</v>
      </c>
      <c r="M127" s="1083"/>
      <c r="N127" s="1231">
        <f>+ROUND(+SUM(N122:N126),0)</f>
        <v>7723</v>
      </c>
      <c r="O127" s="1085"/>
      <c r="P127" s="1229">
        <f>+ROUND(+SUM(P122:P126),0)</f>
        <v>0</v>
      </c>
      <c r="Q127" s="1230">
        <f>+ROUND(+SUM(Q122:Q126),0)</f>
        <v>7723</v>
      </c>
      <c r="R127" s="1034"/>
      <c r="S127" s="1859" t="s">
        <v>1176</v>
      </c>
      <c r="T127" s="1860"/>
      <c r="U127" s="1861"/>
      <c r="V127" s="1223"/>
      <c r="W127" s="1224"/>
      <c r="X127" s="1225"/>
      <c r="Y127" s="1224"/>
      <c r="Z127" s="1224"/>
    </row>
    <row r="128" spans="1:26" s="1006" customFormat="1" ht="15.75">
      <c r="A128" s="1077"/>
      <c r="B128" s="1078" t="s">
        <v>1177</v>
      </c>
      <c r="C128" s="1079"/>
      <c r="D128" s="1080"/>
      <c r="E128" s="1191"/>
      <c r="F128" s="1089"/>
      <c r="G128" s="1090"/>
      <c r="H128" s="1007"/>
      <c r="I128" s="1089"/>
      <c r="J128" s="1090"/>
      <c r="K128" s="1083"/>
      <c r="L128" s="1090"/>
      <c r="M128" s="1083"/>
      <c r="N128" s="1120"/>
      <c r="O128" s="1085"/>
      <c r="P128" s="1089"/>
      <c r="Q128" s="1090"/>
      <c r="R128" s="1034"/>
      <c r="S128" s="1259" t="s">
        <v>1177</v>
      </c>
      <c r="T128" s="1260"/>
      <c r="U128" s="1261"/>
      <c r="V128" s="1064"/>
      <c r="W128" s="1005"/>
      <c r="X128" s="1005"/>
      <c r="Y128" s="1005"/>
      <c r="Z128" s="1005"/>
    </row>
    <row r="129" spans="1:26" s="1006" customFormat="1" ht="15.75">
      <c r="A129" s="1077"/>
      <c r="B129" s="1092" t="s">
        <v>1178</v>
      </c>
      <c r="C129" s="1093"/>
      <c r="D129" s="1094"/>
      <c r="E129" s="1007"/>
      <c r="F129" s="1095">
        <f>+IF($P$2=0,$P129,0)</f>
        <v>0</v>
      </c>
      <c r="G129" s="1096">
        <f>+IF($P$2=0,$Q129,0)</f>
        <v>0</v>
      </c>
      <c r="H129" s="1007"/>
      <c r="I129" s="1095">
        <f>+IF(OR($P$2=98,$P$2=42,$P$2=96,$P$2=97),$P129,0)</f>
        <v>0</v>
      </c>
      <c r="J129" s="1096">
        <f>+IF(OR($P$2=98,$P$2=42,$P$2=96,$P$2=97),$Q129,0)</f>
        <v>0</v>
      </c>
      <c r="K129" s="1083"/>
      <c r="L129" s="1096">
        <f>+IF($P$2=33,$Q129,0)</f>
        <v>0</v>
      </c>
      <c r="M129" s="1083"/>
      <c r="N129" s="1097">
        <f>+ROUND(+G129+J129+L129,0)</f>
        <v>0</v>
      </c>
      <c r="O129" s="1085"/>
      <c r="P129" s="1095">
        <f>+ROUND(+SUM(OTCHET!E570:E575)+SUM(OTCHET!E584:E585)+IF(AND(OTCHET!$F$12=9900,+OTCHET!$E$15=0),0,SUM(OTCHET!E590:E591)),0)</f>
        <v>0</v>
      </c>
      <c r="Q129" s="1096">
        <f>+ROUND(+SUM(OTCHET!L570:L575)+SUM(OTCHET!L584:L585)+IF(AND(OTCHET!$F$12=9900,+OTCHET!$E$15=0),0,SUM(OTCHET!L590:L591)),0)</f>
        <v>0</v>
      </c>
      <c r="R129" s="1034"/>
      <c r="S129" s="1847" t="s">
        <v>1179</v>
      </c>
      <c r="T129" s="1848"/>
      <c r="U129" s="1849"/>
      <c r="V129" s="1064"/>
      <c r="W129" s="1005"/>
      <c r="X129" s="1005"/>
      <c r="Y129" s="1005"/>
      <c r="Z129" s="1005"/>
    </row>
    <row r="130" spans="1:26" s="1006" customFormat="1" ht="15.75">
      <c r="A130" s="1077"/>
      <c r="B130" s="1098" t="s">
        <v>1180</v>
      </c>
      <c r="C130" s="1099"/>
      <c r="D130" s="1100"/>
      <c r="E130" s="1007"/>
      <c r="F130" s="1107">
        <f>+IF($P$2=0,$P130,0)</f>
        <v>0</v>
      </c>
      <c r="G130" s="1108">
        <f>+IF($P$2=0,$Q130,0)</f>
        <v>0</v>
      </c>
      <c r="H130" s="1007"/>
      <c r="I130" s="1107">
        <f>+IF(OR($P$2=98,$P$2=42,$P$2=96,$P$2=97),$P130,0)</f>
        <v>0</v>
      </c>
      <c r="J130" s="1108">
        <f>+IF(OR($P$2=98,$P$2=42,$P$2=96,$P$2=97),$Q130,0)</f>
        <v>0</v>
      </c>
      <c r="K130" s="1083"/>
      <c r="L130" s="1108">
        <f>+IF($P$2=33,$Q130,0)</f>
        <v>0</v>
      </c>
      <c r="M130" s="1083"/>
      <c r="N130" s="1109">
        <f>+ROUND(+G130+J130+L130,0)</f>
        <v>0</v>
      </c>
      <c r="O130" s="1085"/>
      <c r="P130" s="1107">
        <f>+ROUND(OTCHET!E583+OTCHET!E588,0)</f>
        <v>0</v>
      </c>
      <c r="Q130" s="1108">
        <f>+ROUND(OTCHET!L583+OTCHET!L588,0)</f>
        <v>0</v>
      </c>
      <c r="R130" s="1034"/>
      <c r="S130" s="1850" t="s">
        <v>1181</v>
      </c>
      <c r="T130" s="1851"/>
      <c r="U130" s="1852"/>
      <c r="V130" s="1064"/>
      <c r="W130" s="1005"/>
      <c r="X130" s="1005"/>
      <c r="Y130" s="1005"/>
      <c r="Z130" s="1005"/>
    </row>
    <row r="131" spans="1:26" s="1006" customFormat="1" ht="15.75">
      <c r="A131" s="1077"/>
      <c r="B131" s="1276" t="s">
        <v>1182</v>
      </c>
      <c r="C131" s="1277"/>
      <c r="D131" s="1278"/>
      <c r="E131" s="1007"/>
      <c r="F131" s="1107">
        <f>+IF($P$2=0,$P131,0)</f>
        <v>0</v>
      </c>
      <c r="G131" s="1108">
        <f>+IF($P$2=0,$Q131,0)</f>
        <v>0</v>
      </c>
      <c r="H131" s="1007"/>
      <c r="I131" s="1107">
        <f>+IF(OR($P$2=98,$P$2=42,$P$2=96,$P$2=97),$P131,0)</f>
        <v>0</v>
      </c>
      <c r="J131" s="1108">
        <f>+IF(OR($P$2=98,$P$2=42,$P$2=96,$P$2=97),$Q131,0)</f>
        <v>0</v>
      </c>
      <c r="K131" s="1083"/>
      <c r="L131" s="1108">
        <f>+IF($P$2=33,$Q131,0)</f>
        <v>0</v>
      </c>
      <c r="M131" s="1083"/>
      <c r="N131" s="1109">
        <f>+ROUND(+G131+J131+L131,0)</f>
        <v>0</v>
      </c>
      <c r="O131" s="1085"/>
      <c r="P131" s="1107">
        <f>+ROUND(-SUM(OTCHET!E576:E581)-SUM(OTCHET!E586:E587)-IF(AND(OTCHET!$F$12=9900,+OTCHET!$E$15=0),0,SUM(OTCHET!E592:E593)),0)</f>
        <v>0</v>
      </c>
      <c r="Q131" s="1108">
        <f>+ROUND(-SUM(OTCHET!L576:L581)-SUM(OTCHET!L586:L587)-IF(AND(OTCHET!$F$12=9900,+OTCHET!$E$15=0),0,SUM(OTCHET!L592:L593)),0)</f>
        <v>0</v>
      </c>
      <c r="R131" s="1034"/>
      <c r="S131" s="1841" t="s">
        <v>1183</v>
      </c>
      <c r="T131" s="1842"/>
      <c r="U131" s="1843"/>
      <c r="V131" s="1064"/>
      <c r="W131" s="1005"/>
      <c r="X131" s="1005"/>
      <c r="Y131" s="1005"/>
      <c r="Z131" s="1005"/>
    </row>
    <row r="132" spans="1:26" s="1006" customFormat="1" ht="16.5" thickBot="1">
      <c r="A132" s="1077"/>
      <c r="B132" s="1279" t="s">
        <v>1184</v>
      </c>
      <c r="C132" s="1280"/>
      <c r="D132" s="1281"/>
      <c r="E132" s="1007"/>
      <c r="F132" s="1282">
        <f>+ROUND(+F131-F129-F130,0)</f>
        <v>0</v>
      </c>
      <c r="G132" s="1283">
        <f>+ROUND(+G131-G129-G130,0)</f>
        <v>0</v>
      </c>
      <c r="H132" s="1007"/>
      <c r="I132" s="1282">
        <f>+ROUND(+I131-I129-I130,0)</f>
        <v>0</v>
      </c>
      <c r="J132" s="1283">
        <f>+ROUND(+J131-J129-J130,0)</f>
        <v>0</v>
      </c>
      <c r="K132" s="1083"/>
      <c r="L132" s="1283">
        <f>+ROUND(+L131-L129-L130,0)</f>
        <v>0</v>
      </c>
      <c r="M132" s="1083"/>
      <c r="N132" s="1284">
        <f>+ROUND(+N131-N129-N130,0)</f>
        <v>0</v>
      </c>
      <c r="O132" s="1085"/>
      <c r="P132" s="1282">
        <f>+ROUND(+P131-P129-P130,0)</f>
        <v>0</v>
      </c>
      <c r="Q132" s="1283">
        <f>+ROUND(+Q131-Q129-Q130,0)</f>
        <v>0</v>
      </c>
      <c r="R132" s="1034"/>
      <c r="S132" s="1835" t="s">
        <v>1185</v>
      </c>
      <c r="T132" s="1836"/>
      <c r="U132" s="1837"/>
      <c r="V132" s="1223"/>
      <c r="W132" s="1224"/>
      <c r="X132" s="1225"/>
      <c r="Y132" s="1224"/>
      <c r="Z132" s="1224"/>
    </row>
    <row r="133" spans="1:26" s="1006" customFormat="1" ht="16.5" customHeight="1" thickTop="1">
      <c r="A133" s="996"/>
      <c r="B133" s="1838">
        <f>+IF(+SUM(F133:N133)=0,0,"Контрола: дефицит/излишък = финансиране с обратен знак (Г. + Д. = 0)")</f>
        <v>0</v>
      </c>
      <c r="C133" s="1838"/>
      <c r="D133" s="1838"/>
      <c r="E133" s="1007"/>
      <c r="F133" s="1285">
        <f>+ROUND(F83,0)+ROUND(F84,0)</f>
        <v>0</v>
      </c>
      <c r="G133" s="1285">
        <f>+ROUND(G83,0)+ROUND(G84,0)</f>
        <v>0</v>
      </c>
      <c r="H133" s="1007"/>
      <c r="I133" s="1285">
        <f>+ROUND(I83,0)+ROUND(I84,0)</f>
        <v>0</v>
      </c>
      <c r="J133" s="1285">
        <f>+ROUND(J83,0)+ROUND(J84,0)</f>
        <v>0</v>
      </c>
      <c r="K133" s="1007"/>
      <c r="L133" s="1285">
        <f>+ROUND(L83,0)+ROUND(L84,0)</f>
        <v>0</v>
      </c>
      <c r="M133" s="1007"/>
      <c r="N133" s="1286">
        <f>+ROUND(N83,0)+ROUND(N84,0)</f>
        <v>0</v>
      </c>
      <c r="O133" s="1287"/>
      <c r="P133" s="1288">
        <f>+ROUND(P83,0)+ROUND(P84,0)</f>
        <v>0</v>
      </c>
      <c r="Q133" s="1288">
        <f>+ROUND(Q83,0)+ROUND(Q84,0)</f>
        <v>0</v>
      </c>
      <c r="R133" s="1034"/>
      <c r="S133" s="1289"/>
      <c r="T133" s="1289"/>
      <c r="U133" s="1289"/>
      <c r="V133" s="1223"/>
      <c r="W133" s="1224"/>
      <c r="X133" s="1225"/>
      <c r="Y133" s="1224"/>
      <c r="Z133" s="1224"/>
    </row>
    <row r="134" spans="1:26" s="1006" customFormat="1" ht="17.25" hidden="1" customHeight="1">
      <c r="A134" s="996"/>
      <c r="B134" s="1290" t="s">
        <v>1186</v>
      </c>
      <c r="C134" s="1291">
        <f>+OTCHET!B608</f>
        <v>0</v>
      </c>
      <c r="D134" s="1235" t="s">
        <v>1187</v>
      </c>
      <c r="E134" s="1007"/>
      <c r="F134" s="1839"/>
      <c r="G134" s="1839"/>
      <c r="H134" s="1007"/>
      <c r="I134" s="1292" t="s">
        <v>1188</v>
      </c>
      <c r="J134" s="1293"/>
      <c r="K134" s="1007"/>
      <c r="L134" s="1839"/>
      <c r="M134" s="1839"/>
      <c r="N134" s="1839"/>
      <c r="O134" s="1287"/>
      <c r="P134" s="1840"/>
      <c r="Q134" s="1840"/>
      <c r="R134" s="1294"/>
      <c r="S134" s="1295"/>
      <c r="T134" s="1295"/>
      <c r="U134" s="1295"/>
      <c r="V134" s="1296"/>
      <c r="W134" s="1224"/>
      <c r="X134" s="1225"/>
      <c r="Y134" s="1224"/>
      <c r="Z134" s="1224"/>
    </row>
    <row r="135" spans="1:26" s="1006" customFormat="1" ht="21" hidden="1" customHeight="1">
      <c r="A135" s="996"/>
      <c r="B135" s="1290"/>
      <c r="C135" s="1235"/>
      <c r="D135" s="1235"/>
      <c r="E135" s="1007"/>
      <c r="F135" s="1297"/>
      <c r="G135" s="1297"/>
      <c r="H135" s="1007"/>
      <c r="I135" s="1292"/>
      <c r="J135" s="1293"/>
      <c r="K135" s="1007"/>
      <c r="L135" s="1297"/>
      <c r="M135" s="1297"/>
      <c r="N135" s="1297"/>
      <c r="O135" s="1287"/>
      <c r="P135" s="1298"/>
      <c r="Q135" s="1298"/>
      <c r="R135" s="1294"/>
      <c r="S135" s="1295"/>
      <c r="T135" s="1295"/>
      <c r="U135" s="1295"/>
      <c r="V135" s="1296"/>
      <c r="W135" s="1224"/>
      <c r="X135" s="1225"/>
      <c r="Y135" s="1224"/>
      <c r="Z135" s="1224"/>
    </row>
    <row r="136" spans="1:26" s="1006" customFormat="1" ht="23.25" customHeight="1" thickBot="1">
      <c r="A136" s="1296"/>
      <c r="B136" s="1296"/>
      <c r="C136" s="1296"/>
      <c r="D136" s="1296"/>
      <c r="E136" s="1299"/>
      <c r="F136" s="1299"/>
      <c r="G136" s="1299"/>
      <c r="H136" s="1299"/>
      <c r="I136" s="1299"/>
      <c r="J136" s="1299"/>
      <c r="K136" s="1299"/>
      <c r="L136" s="1299"/>
      <c r="M136" s="1299"/>
      <c r="N136" s="1299"/>
      <c r="O136" s="1296"/>
      <c r="P136" s="1300"/>
      <c r="Q136" s="1300"/>
      <c r="R136" s="1295"/>
      <c r="S136" s="1295"/>
      <c r="T136" s="1295"/>
      <c r="U136" s="1295"/>
      <c r="V136" s="1295"/>
      <c r="X136" s="1301"/>
    </row>
    <row r="137" spans="1:26" s="1006" customFormat="1" ht="15.75" customHeight="1">
      <c r="A137" s="1296"/>
      <c r="B137" s="1302" t="s">
        <v>1189</v>
      </c>
      <c r="C137" s="1303"/>
      <c r="D137" s="1304"/>
      <c r="E137" s="1299"/>
      <c r="F137" s="1305" t="str">
        <f>+IF(+ROUND(F140,2)=0,"O K","НЕРАВНЕНИЕ!")</f>
        <v>O K</v>
      </c>
      <c r="G137" s="1306" t="str">
        <f>+IF(+ROUND(G140,2)=0,"O K","НЕРАВНЕНИЕ!")</f>
        <v>O K</v>
      </c>
      <c r="H137" s="1307"/>
      <c r="I137" s="1308" t="str">
        <f>+IF(+ROUND(I140,2)=0,"O K","НЕРАВНЕНИЕ!")</f>
        <v>O K</v>
      </c>
      <c r="J137" s="1309" t="str">
        <f>+IF(+ROUND(J140,2)=0,"O K","НЕРАВНЕНИЕ!")</f>
        <v>O K</v>
      </c>
      <c r="K137" s="1310"/>
      <c r="L137" s="1311" t="str">
        <f>+IF(+ROUND(L140,2)=0,"O K","НЕРАВНЕНИЕ!")</f>
        <v>O K</v>
      </c>
      <c r="M137" s="1312"/>
      <c r="N137" s="1313" t="str">
        <f>+IF(+ROUND(N140,2)=0,"O K","НЕРАВНЕНИЕ!")</f>
        <v>O K</v>
      </c>
      <c r="O137" s="1296"/>
      <c r="P137" s="1314" t="str">
        <f>+IF(+ROUND(P140,2)=0,"O K","НЕРАВНЕНИЕ!")</f>
        <v>O K</v>
      </c>
      <c r="Q137" s="1315" t="str">
        <f>+IF(+ROUND(Q140,2)=0,"O K","НЕРАВНЕНИЕ!")</f>
        <v>O K</v>
      </c>
      <c r="R137" s="1316"/>
      <c r="S137" s="1317"/>
      <c r="T137" s="1317"/>
      <c r="U137" s="1317"/>
      <c r="V137" s="1296"/>
      <c r="X137" s="1301"/>
    </row>
    <row r="138" spans="1:26" s="1006" customFormat="1" ht="15.75" customHeight="1" thickBot="1">
      <c r="A138" s="1296"/>
      <c r="B138" s="1318" t="s">
        <v>1190</v>
      </c>
      <c r="C138" s="1319"/>
      <c r="D138" s="1320"/>
      <c r="E138" s="1299"/>
      <c r="F138" s="1321" t="str">
        <f>+IF(+ROUND(F141,0)=0,"O K","НЕРАВНЕНИЕ!")</f>
        <v>O K</v>
      </c>
      <c r="G138" s="1322" t="str">
        <f>+IF(+ROUND(G141,0)=0,"O K","НЕРАВНЕНИЕ!")</f>
        <v>O K</v>
      </c>
      <c r="H138" s="1307"/>
      <c r="I138" s="1323" t="str">
        <f>+IF(+ROUND(I141,0)=0,"O K","НЕРАВНЕНИЕ!")</f>
        <v>O K</v>
      </c>
      <c r="J138" s="1324" t="str">
        <f>+IF(+ROUND(J141,0)=0,"O K","НЕРАВНЕНИЕ!")</f>
        <v>O K</v>
      </c>
      <c r="K138" s="1310"/>
      <c r="L138" s="1325" t="str">
        <f>+IF(+ROUND(L141,0)=0,"O K","НЕРАВНЕНИЕ!")</f>
        <v>O K</v>
      </c>
      <c r="M138" s="1312"/>
      <c r="N138" s="1326" t="str">
        <f>+IF(+ROUND(N141,0)=0,"O K","НЕРАВНЕНИЕ!")</f>
        <v>O K</v>
      </c>
      <c r="O138" s="1296"/>
      <c r="P138" s="1327" t="str">
        <f>+IF(+ROUND(P141,0)=0,"O K","НЕРАВНЕНИЕ!")</f>
        <v>O K</v>
      </c>
      <c r="Q138" s="1328" t="str">
        <f>+IF(+ROUND(Q141,0)=0,"O K","НЕРАВНЕНИЕ!")</f>
        <v>O K</v>
      </c>
      <c r="R138" s="1316"/>
      <c r="S138" s="1317"/>
      <c r="T138" s="1317"/>
      <c r="U138" s="1317"/>
      <c r="V138" s="1296"/>
      <c r="X138" s="1301"/>
    </row>
    <row r="139" spans="1:26" s="1006" customFormat="1" ht="13.5" thickBot="1">
      <c r="A139" s="1296"/>
      <c r="B139" s="1296"/>
      <c r="C139" s="1296"/>
      <c r="D139" s="1296"/>
      <c r="E139" s="1299"/>
      <c r="F139" s="1312"/>
      <c r="G139" s="1312"/>
      <c r="H139" s="1312"/>
      <c r="I139" s="1329"/>
      <c r="J139" s="1312"/>
      <c r="K139" s="1312"/>
      <c r="L139" s="1329"/>
      <c r="M139" s="1312"/>
      <c r="N139" s="1312"/>
      <c r="O139" s="1296"/>
      <c r="P139" s="1300"/>
      <c r="Q139" s="1300"/>
      <c r="R139" s="1316"/>
      <c r="S139" s="1295"/>
      <c r="T139" s="1295"/>
      <c r="U139" s="1295"/>
      <c r="V139" s="1296"/>
      <c r="X139" s="1301"/>
    </row>
    <row r="140" spans="1:26" s="1006" customFormat="1" ht="15.75">
      <c r="A140" s="1296"/>
      <c r="B140" s="1302" t="s">
        <v>1191</v>
      </c>
      <c r="C140" s="1303"/>
      <c r="D140" s="1304"/>
      <c r="E140" s="1299"/>
      <c r="F140" s="1330">
        <f>+ROUND(F83,0)+ROUND(F84,0)</f>
        <v>0</v>
      </c>
      <c r="G140" s="1331">
        <f>+ROUND(G83,0)+ROUND(G84,0)</f>
        <v>0</v>
      </c>
      <c r="H140" s="1307"/>
      <c r="I140" s="1332">
        <f>+ROUND(I83,0)+ROUND(I84,0)</f>
        <v>0</v>
      </c>
      <c r="J140" s="1333">
        <f>+ROUND(J83,0)+ROUND(J84,0)</f>
        <v>0</v>
      </c>
      <c r="K140" s="1310"/>
      <c r="L140" s="1334">
        <f>+ROUND(L83,0)+ROUND(L84,0)</f>
        <v>0</v>
      </c>
      <c r="M140" s="1312"/>
      <c r="N140" s="1335">
        <f>+ROUND(N83,0)+ROUND(N84,0)</f>
        <v>0</v>
      </c>
      <c r="O140" s="1296"/>
      <c r="P140" s="1336">
        <f>+ROUND(P83,0)+ROUND(P84,0)</f>
        <v>0</v>
      </c>
      <c r="Q140" s="1337">
        <f>+ROUND(Q83,0)+ROUND(Q84,0)</f>
        <v>0</v>
      </c>
      <c r="R140" s="1316"/>
      <c r="S140" s="1295"/>
      <c r="T140" s="1295"/>
      <c r="U140" s="1295"/>
      <c r="V140" s="1296"/>
      <c r="X140" s="1301"/>
    </row>
    <row r="141" spans="1:26" s="1006" customFormat="1" ht="16.5" thickBot="1">
      <c r="A141" s="1296"/>
      <c r="B141" s="1318" t="s">
        <v>1192</v>
      </c>
      <c r="C141" s="1319"/>
      <c r="D141" s="1320"/>
      <c r="E141" s="1299"/>
      <c r="F141" s="1338">
        <f>SUM(+ROUND(F83,0)+ROUND(F101,0)+ROUND(F120,0)+ROUND(F127,0)+ROUND(F129,0)+ROUND(F130,0))-ROUND(F131,0)</f>
        <v>0</v>
      </c>
      <c r="G141" s="1339">
        <f>SUM(+ROUND(G83,0)+ROUND(G101,0)+ROUND(G120,0)+ROUND(G127,0)+ROUND(G129,0)+ROUND(G130,0))-ROUND(G131,0)</f>
        <v>0</v>
      </c>
      <c r="H141" s="1307"/>
      <c r="I141" s="1340">
        <f>SUM(+ROUND(I83,0)+ROUND(I101,0)+ROUND(I120,0)+ROUND(I127,0)+ROUND(I129,0)+ROUND(I130,0))-ROUND(I131,0)</f>
        <v>0</v>
      </c>
      <c r="J141" s="1341">
        <f>SUM(+ROUND(J83,0)+ROUND(J101,0)+ROUND(J120,0)+ROUND(J127,0)+ROUND(J129,0)+ROUND(J130,0))-ROUND(J131,0)</f>
        <v>0</v>
      </c>
      <c r="K141" s="1310"/>
      <c r="L141" s="1342">
        <f>SUM(+ROUND(L83,0)+ROUND(L101,0)+ROUND(L120,0)+ROUND(L127,0)+ROUND(L129,0)+ROUND(L130,0))-ROUND(L131,0)</f>
        <v>0</v>
      </c>
      <c r="M141" s="1312"/>
      <c r="N141" s="1343">
        <f>SUM(+ROUND(N83,0)+ROUND(N101,0)+ROUND(N120,0)+ROUND(N127,0)+ROUND(N129,0)+ROUND(N130,0))-ROUND(N131,0)</f>
        <v>0</v>
      </c>
      <c r="O141" s="1296"/>
      <c r="P141" s="1344">
        <f>SUM(+ROUND(P83,0)+ROUND(P101,0)+ROUND(P120,0)+ROUND(P127,0)+ROUND(P129,0)+ROUND(P130,0))-ROUND(P131,0)</f>
        <v>0</v>
      </c>
      <c r="Q141" s="1345">
        <f>SUM(+ROUND(Q83,0)+ROUND(Q101,0)+ROUND(Q120,0)+ROUND(Q127,0)+ROUND(Q129,0)+ROUND(Q130,0))-ROUND(Q131,0)</f>
        <v>0</v>
      </c>
      <c r="R141" s="1316"/>
      <c r="S141" s="1295"/>
      <c r="T141" s="1295"/>
      <c r="U141" s="1295"/>
      <c r="V141" s="1296"/>
      <c r="X141" s="1301"/>
    </row>
    <row r="142" spans="1:26" s="1006" customFormat="1" ht="12.75">
      <c r="A142" s="1296"/>
      <c r="B142" s="1296"/>
      <c r="C142" s="1296"/>
      <c r="D142" s="1296"/>
      <c r="E142" s="1296"/>
      <c r="F142" s="1299"/>
      <c r="G142" s="1299"/>
      <c r="H142" s="1299"/>
      <c r="I142" s="1299"/>
      <c r="J142" s="1299"/>
      <c r="K142" s="1299"/>
      <c r="L142" s="1299"/>
      <c r="M142" s="1299"/>
      <c r="N142" s="1299"/>
      <c r="O142" s="1296"/>
      <c r="P142" s="1300"/>
      <c r="Q142" s="1300"/>
      <c r="R142" s="1316"/>
      <c r="S142" s="1295"/>
      <c r="T142" s="1295"/>
      <c r="U142" s="1295"/>
      <c r="V142" s="1296"/>
      <c r="X142" s="1301"/>
    </row>
    <row r="143" spans="1:26" s="1006" customFormat="1" ht="12.75">
      <c r="A143" s="1296"/>
      <c r="B143" s="1296"/>
      <c r="C143" s="1296"/>
      <c r="D143" s="1296"/>
      <c r="E143" s="1299"/>
      <c r="F143" s="1299"/>
      <c r="G143" s="1299"/>
      <c r="H143" s="1299"/>
      <c r="I143" s="1299"/>
      <c r="J143" s="1299"/>
      <c r="K143" s="1299"/>
      <c r="L143" s="1299"/>
      <c r="M143" s="1299"/>
      <c r="N143" s="1299"/>
      <c r="O143" s="1296"/>
      <c r="P143" s="1300"/>
      <c r="Q143" s="1300"/>
      <c r="R143" s="1316"/>
      <c r="S143" s="1295"/>
      <c r="T143" s="1295"/>
      <c r="U143" s="1295"/>
      <c r="V143" s="1296"/>
      <c r="X143" s="1301"/>
    </row>
    <row r="144" spans="1:26" s="1006" customFormat="1" ht="12.75">
      <c r="A144" s="1296"/>
      <c r="B144" s="1296"/>
      <c r="C144" s="1296"/>
      <c r="D144" s="1296"/>
      <c r="E144" s="1299"/>
      <c r="F144" s="1299"/>
      <c r="G144" s="1299"/>
      <c r="H144" s="1299"/>
      <c r="I144" s="1299"/>
      <c r="J144" s="1299"/>
      <c r="K144" s="1299"/>
      <c r="L144" s="1299"/>
      <c r="M144" s="1299"/>
      <c r="N144" s="1299"/>
      <c r="O144" s="1296"/>
      <c r="P144" s="1300"/>
      <c r="Q144" s="1300"/>
      <c r="R144" s="1316"/>
      <c r="S144" s="1295"/>
      <c r="T144" s="1295"/>
      <c r="U144" s="1295"/>
      <c r="V144" s="1296"/>
      <c r="X144" s="1301"/>
    </row>
    <row r="145" spans="1:24" s="1006" customFormat="1" ht="12.75">
      <c r="A145" s="1296"/>
      <c r="B145" s="1296"/>
      <c r="C145" s="1296"/>
      <c r="D145" s="1296"/>
      <c r="E145" s="1299"/>
      <c r="F145" s="1299"/>
      <c r="G145" s="1299"/>
      <c r="H145" s="1299"/>
      <c r="I145" s="1299"/>
      <c r="J145" s="1299"/>
      <c r="K145" s="1299"/>
      <c r="L145" s="1299"/>
      <c r="M145" s="1299"/>
      <c r="N145" s="1299"/>
      <c r="O145" s="1296"/>
      <c r="P145" s="1300"/>
      <c r="Q145" s="1300"/>
      <c r="R145" s="1316"/>
      <c r="S145" s="1295"/>
      <c r="T145" s="1295"/>
      <c r="U145" s="1295"/>
      <c r="V145" s="1296"/>
      <c r="X145" s="1301"/>
    </row>
    <row r="146" spans="1:24" s="1006" customFormat="1" ht="12.75">
      <c r="A146" s="1296"/>
      <c r="B146" s="1296"/>
      <c r="C146" s="1296"/>
      <c r="D146" s="1296"/>
      <c r="E146" s="1299"/>
      <c r="F146" s="1299"/>
      <c r="G146" s="1299"/>
      <c r="H146" s="1299"/>
      <c r="I146" s="1299"/>
      <c r="J146" s="1299"/>
      <c r="K146" s="1299"/>
      <c r="L146" s="1299"/>
      <c r="M146" s="1299"/>
      <c r="N146" s="1299"/>
      <c r="O146" s="1296"/>
      <c r="P146" s="1300"/>
      <c r="Q146" s="1300"/>
      <c r="R146" s="1316"/>
      <c r="S146" s="1295"/>
      <c r="T146" s="1295"/>
      <c r="U146" s="1295"/>
      <c r="V146" s="1296"/>
      <c r="X146" s="1301"/>
    </row>
    <row r="147" spans="1:24" s="1006" customFormat="1" ht="12.75">
      <c r="A147" s="1296"/>
      <c r="B147" s="1296"/>
      <c r="C147" s="1296"/>
      <c r="D147" s="1296"/>
      <c r="E147" s="1299"/>
      <c r="F147" s="1299"/>
      <c r="G147" s="1299"/>
      <c r="H147" s="1299"/>
      <c r="I147" s="1299"/>
      <c r="J147" s="1299"/>
      <c r="K147" s="1299"/>
      <c r="L147" s="1299"/>
      <c r="M147" s="1299"/>
      <c r="N147" s="1299"/>
      <c r="O147" s="1296"/>
      <c r="P147" s="1300"/>
      <c r="Q147" s="1300"/>
      <c r="R147" s="1316"/>
      <c r="S147" s="1295"/>
      <c r="T147" s="1295"/>
      <c r="U147" s="1295"/>
      <c r="V147" s="1296"/>
      <c r="X147" s="1301"/>
    </row>
    <row r="148" spans="1:24" s="1006" customFormat="1" ht="12.75">
      <c r="A148" s="1296"/>
      <c r="B148" s="1296"/>
      <c r="C148" s="1296"/>
      <c r="D148" s="1296"/>
      <c r="E148" s="1299"/>
      <c r="F148" s="1299"/>
      <c r="G148" s="1299"/>
      <c r="H148" s="1299"/>
      <c r="I148" s="1299"/>
      <c r="J148" s="1299"/>
      <c r="K148" s="1299"/>
      <c r="L148" s="1299"/>
      <c r="M148" s="1299"/>
      <c r="N148" s="1299"/>
      <c r="O148" s="1296"/>
      <c r="P148" s="1300"/>
      <c r="Q148" s="1300"/>
      <c r="R148" s="1316"/>
      <c r="S148" s="1295"/>
      <c r="T148" s="1295"/>
      <c r="U148" s="1295"/>
      <c r="V148" s="1296"/>
      <c r="X148" s="1301"/>
    </row>
    <row r="149" spans="1:24" s="1006" customFormat="1" ht="12.75">
      <c r="A149" s="1296"/>
      <c r="B149" s="1296"/>
      <c r="C149" s="1296"/>
      <c r="D149" s="1296"/>
      <c r="E149" s="1299"/>
      <c r="F149" s="1299"/>
      <c r="G149" s="1299"/>
      <c r="H149" s="1299"/>
      <c r="I149" s="1299"/>
      <c r="J149" s="1299"/>
      <c r="K149" s="1299"/>
      <c r="L149" s="1299"/>
      <c r="M149" s="1299"/>
      <c r="N149" s="1299"/>
      <c r="O149" s="1296"/>
      <c r="P149" s="1300"/>
      <c r="Q149" s="1300"/>
      <c r="R149" s="1316"/>
      <c r="S149" s="1295"/>
      <c r="T149" s="1295"/>
      <c r="U149" s="1295"/>
      <c r="V149" s="1296"/>
      <c r="X149" s="1301"/>
    </row>
    <row r="150" spans="1:24" s="1006" customFormat="1" ht="12.75">
      <c r="A150" s="1296"/>
      <c r="B150" s="1296"/>
      <c r="C150" s="1296"/>
      <c r="D150" s="1296"/>
      <c r="E150" s="1299"/>
      <c r="F150" s="1299"/>
      <c r="G150" s="1299"/>
      <c r="H150" s="1299"/>
      <c r="I150" s="1299"/>
      <c r="J150" s="1299"/>
      <c r="K150" s="1299"/>
      <c r="L150" s="1299"/>
      <c r="M150" s="1299"/>
      <c r="N150" s="1299"/>
      <c r="O150" s="1296"/>
      <c r="P150" s="1300"/>
      <c r="Q150" s="1300"/>
      <c r="R150" s="1316"/>
      <c r="S150" s="1295"/>
      <c r="T150" s="1295"/>
      <c r="U150" s="1295"/>
      <c r="V150" s="1296"/>
      <c r="X150" s="1301"/>
    </row>
    <row r="151" spans="1:24" s="1006" customFormat="1" ht="12.75">
      <c r="A151" s="1296"/>
      <c r="B151" s="1296"/>
      <c r="C151" s="1296"/>
      <c r="D151" s="1296"/>
      <c r="E151" s="1299"/>
      <c r="F151" s="1299"/>
      <c r="G151" s="1299"/>
      <c r="H151" s="1299"/>
      <c r="I151" s="1299"/>
      <c r="J151" s="1299"/>
      <c r="K151" s="1299"/>
      <c r="L151" s="1299"/>
      <c r="M151" s="1299"/>
      <c r="N151" s="1299"/>
      <c r="O151" s="1296"/>
      <c r="P151" s="1300"/>
      <c r="Q151" s="1300"/>
      <c r="R151" s="1316"/>
      <c r="S151" s="1295"/>
      <c r="T151" s="1295"/>
      <c r="U151" s="1295"/>
      <c r="V151" s="1296"/>
      <c r="X151" s="1301"/>
    </row>
    <row r="152" spans="1:24" s="1006" customFormat="1" ht="12.75">
      <c r="A152" s="1296"/>
      <c r="B152" s="1296"/>
      <c r="C152" s="1296"/>
      <c r="D152" s="1296"/>
      <c r="E152" s="1299"/>
      <c r="F152" s="1299"/>
      <c r="G152" s="1299"/>
      <c r="H152" s="1299"/>
      <c r="I152" s="1299"/>
      <c r="J152" s="1299"/>
      <c r="K152" s="1299"/>
      <c r="L152" s="1299"/>
      <c r="M152" s="1299"/>
      <c r="N152" s="1299"/>
      <c r="O152" s="1296"/>
      <c r="P152" s="1300"/>
      <c r="Q152" s="1300"/>
      <c r="R152" s="1316"/>
      <c r="S152" s="1295"/>
      <c r="T152" s="1295"/>
      <c r="U152" s="1295"/>
      <c r="V152" s="1296"/>
      <c r="X152" s="1301"/>
    </row>
    <row r="153" spans="1:24" s="1006" customFormat="1" ht="12.75">
      <c r="A153" s="1296"/>
      <c r="B153" s="1296"/>
      <c r="C153" s="1296"/>
      <c r="D153" s="1296"/>
      <c r="E153" s="1299"/>
      <c r="F153" s="1299"/>
      <c r="G153" s="1299"/>
      <c r="H153" s="1299"/>
      <c r="I153" s="1299"/>
      <c r="J153" s="1299"/>
      <c r="K153" s="1299"/>
      <c r="L153" s="1299"/>
      <c r="M153" s="1299"/>
      <c r="N153" s="1299"/>
      <c r="O153" s="1296"/>
      <c r="P153" s="1300"/>
      <c r="Q153" s="1300"/>
      <c r="R153" s="1316"/>
      <c r="S153" s="1295"/>
      <c r="T153" s="1295"/>
      <c r="U153" s="1295"/>
      <c r="V153" s="1296"/>
      <c r="X153" s="1301"/>
    </row>
    <row r="154" spans="1:24" s="1006" customFormat="1" ht="12.75">
      <c r="A154" s="1296"/>
      <c r="B154" s="1296"/>
      <c r="C154" s="1296"/>
      <c r="D154" s="1296"/>
      <c r="E154" s="1299"/>
      <c r="F154" s="1299"/>
      <c r="G154" s="1299"/>
      <c r="H154" s="1299"/>
      <c r="I154" s="1299"/>
      <c r="J154" s="1299"/>
      <c r="K154" s="1299"/>
      <c r="L154" s="1299"/>
      <c r="M154" s="1299"/>
      <c r="N154" s="1299"/>
      <c r="O154" s="1296"/>
      <c r="P154" s="1300"/>
      <c r="Q154" s="1300"/>
      <c r="R154" s="1316"/>
      <c r="S154" s="1295"/>
      <c r="T154" s="1295"/>
      <c r="U154" s="1295"/>
      <c r="V154" s="1296"/>
      <c r="X154" s="1301"/>
    </row>
    <row r="155" spans="1:24" s="1006" customFormat="1" ht="12.75">
      <c r="A155" s="1296"/>
      <c r="B155" s="1296"/>
      <c r="C155" s="1296"/>
      <c r="D155" s="1296"/>
      <c r="E155" s="1299"/>
      <c r="F155" s="1299"/>
      <c r="G155" s="1299"/>
      <c r="H155" s="1299"/>
      <c r="I155" s="1299"/>
      <c r="J155" s="1299"/>
      <c r="K155" s="1299"/>
      <c r="L155" s="1299"/>
      <c r="M155" s="1299"/>
      <c r="N155" s="1299"/>
      <c r="O155" s="1296"/>
      <c r="P155" s="1300"/>
      <c r="Q155" s="1300"/>
      <c r="R155" s="1316"/>
      <c r="S155" s="1295"/>
      <c r="T155" s="1295"/>
      <c r="U155" s="1295"/>
      <c r="V155" s="1296"/>
      <c r="X155" s="1301"/>
    </row>
    <row r="156" spans="1:24" s="1006" customFormat="1" ht="12.75">
      <c r="A156" s="1296"/>
      <c r="B156" s="1296"/>
      <c r="C156" s="1296"/>
      <c r="D156" s="1296"/>
      <c r="E156" s="1299"/>
      <c r="F156" s="1299"/>
      <c r="G156" s="1299"/>
      <c r="H156" s="1299"/>
      <c r="I156" s="1299"/>
      <c r="J156" s="1299"/>
      <c r="K156" s="1299"/>
      <c r="L156" s="1299"/>
      <c r="M156" s="1299"/>
      <c r="N156" s="1299"/>
      <c r="O156" s="1296"/>
      <c r="P156" s="1300"/>
      <c r="Q156" s="1300"/>
      <c r="R156" s="1316"/>
      <c r="S156" s="1295"/>
      <c r="T156" s="1295"/>
      <c r="U156" s="1295"/>
      <c r="V156" s="1296"/>
      <c r="X156" s="1301"/>
    </row>
    <row r="157" spans="1:24" s="1006" customFormat="1" ht="12.75">
      <c r="A157" s="1296"/>
      <c r="B157" s="1296"/>
      <c r="C157" s="1296"/>
      <c r="D157" s="1296"/>
      <c r="E157" s="1299"/>
      <c r="F157" s="1299"/>
      <c r="G157" s="1299"/>
      <c r="H157" s="1299"/>
      <c r="I157" s="1299"/>
      <c r="J157" s="1299"/>
      <c r="K157" s="1299"/>
      <c r="L157" s="1299"/>
      <c r="M157" s="1299"/>
      <c r="N157" s="1299"/>
      <c r="O157" s="1296"/>
      <c r="P157" s="1300"/>
      <c r="Q157" s="1300"/>
      <c r="R157" s="1316"/>
      <c r="S157" s="1295"/>
      <c r="T157" s="1295"/>
      <c r="U157" s="1295"/>
      <c r="V157" s="1296"/>
      <c r="X157" s="1301"/>
    </row>
    <row r="158" spans="1:24" s="1006" customFormat="1" ht="12.75">
      <c r="A158" s="1296"/>
      <c r="B158" s="1296"/>
      <c r="C158" s="1296"/>
      <c r="D158" s="1296"/>
      <c r="E158" s="1299"/>
      <c r="F158" s="1299"/>
      <c r="G158" s="1299"/>
      <c r="H158" s="1299"/>
      <c r="I158" s="1299"/>
      <c r="J158" s="1299"/>
      <c r="K158" s="1299"/>
      <c r="L158" s="1299"/>
      <c r="M158" s="1299"/>
      <c r="N158" s="1299"/>
      <c r="O158" s="1296"/>
      <c r="P158" s="1300"/>
      <c r="Q158" s="1300"/>
      <c r="R158" s="1316"/>
      <c r="S158" s="1295"/>
      <c r="T158" s="1295"/>
      <c r="U158" s="1295"/>
      <c r="V158" s="1296"/>
      <c r="X158" s="1301"/>
    </row>
    <row r="159" spans="1:24" s="1006" customFormat="1" ht="12.75">
      <c r="A159" s="1296"/>
      <c r="B159" s="1296"/>
      <c r="C159" s="1296"/>
      <c r="D159" s="1296"/>
      <c r="E159" s="1299"/>
      <c r="F159" s="1299"/>
      <c r="G159" s="1299"/>
      <c r="H159" s="1299"/>
      <c r="I159" s="1299"/>
      <c r="J159" s="1299"/>
      <c r="K159" s="1299"/>
      <c r="L159" s="1299"/>
      <c r="M159" s="1299"/>
      <c r="N159" s="1299"/>
      <c r="O159" s="1296"/>
      <c r="P159" s="1300"/>
      <c r="Q159" s="1300"/>
      <c r="R159" s="1316"/>
      <c r="S159" s="1295"/>
      <c r="T159" s="1295"/>
      <c r="U159" s="1295"/>
      <c r="V159" s="1296"/>
      <c r="X159" s="1301"/>
    </row>
    <row r="160" spans="1:24" s="1006" customFormat="1" ht="12.75">
      <c r="A160" s="1296"/>
      <c r="B160" s="1296"/>
      <c r="C160" s="1296"/>
      <c r="D160" s="1296"/>
      <c r="E160" s="1299"/>
      <c r="F160" s="1299"/>
      <c r="G160" s="1299"/>
      <c r="H160" s="1299"/>
      <c r="I160" s="1299"/>
      <c r="J160" s="1299"/>
      <c r="K160" s="1299"/>
      <c r="L160" s="1299"/>
      <c r="M160" s="1299"/>
      <c r="N160" s="1299"/>
      <c r="O160" s="1296"/>
      <c r="P160" s="1300"/>
      <c r="Q160" s="1300"/>
      <c r="R160" s="1316"/>
      <c r="S160" s="1295"/>
      <c r="T160" s="1295"/>
      <c r="U160" s="1295"/>
      <c r="V160" s="1296"/>
      <c r="X160" s="1301"/>
    </row>
    <row r="161" spans="1:24" s="1006" customFormat="1" ht="12.75">
      <c r="A161" s="1296"/>
      <c r="B161" s="1296"/>
      <c r="C161" s="1296"/>
      <c r="D161" s="1296"/>
      <c r="E161" s="1299"/>
      <c r="F161" s="1299"/>
      <c r="G161" s="1299"/>
      <c r="H161" s="1299"/>
      <c r="I161" s="1299"/>
      <c r="J161" s="1299"/>
      <c r="K161" s="1299"/>
      <c r="L161" s="1299"/>
      <c r="M161" s="1299"/>
      <c r="N161" s="1299"/>
      <c r="O161" s="1296"/>
      <c r="P161" s="1300"/>
      <c r="Q161" s="1300"/>
      <c r="R161" s="1316"/>
      <c r="S161" s="1295"/>
      <c r="T161" s="1295"/>
      <c r="U161" s="1295"/>
      <c r="V161" s="1296"/>
      <c r="X161" s="1301"/>
    </row>
    <row r="162" spans="1:24" s="1006" customFormat="1" ht="12.75">
      <c r="A162" s="1296"/>
      <c r="B162" s="1296"/>
      <c r="C162" s="1296"/>
      <c r="D162" s="1296"/>
      <c r="E162" s="1299"/>
      <c r="F162" s="1299"/>
      <c r="G162" s="1299"/>
      <c r="H162" s="1299"/>
      <c r="I162" s="1299"/>
      <c r="J162" s="1299"/>
      <c r="K162" s="1299"/>
      <c r="L162" s="1299"/>
      <c r="M162" s="1299"/>
      <c r="N162" s="1299"/>
      <c r="O162" s="1296"/>
      <c r="P162" s="1300"/>
      <c r="Q162" s="1300"/>
      <c r="R162" s="1316"/>
      <c r="S162" s="1295"/>
      <c r="T162" s="1295"/>
      <c r="U162" s="1295"/>
      <c r="V162" s="1296"/>
      <c r="X162" s="1301"/>
    </row>
    <row r="163" spans="1:24" s="1006" customFormat="1" ht="12.75">
      <c r="A163" s="1296"/>
      <c r="B163" s="1296"/>
      <c r="C163" s="1296"/>
      <c r="D163" s="1296"/>
      <c r="E163" s="1299"/>
      <c r="F163" s="1299"/>
      <c r="G163" s="1299"/>
      <c r="H163" s="1299"/>
      <c r="I163" s="1299"/>
      <c r="J163" s="1299"/>
      <c r="K163" s="1299"/>
      <c r="L163" s="1299"/>
      <c r="M163" s="1299"/>
      <c r="N163" s="1299"/>
      <c r="O163" s="1296"/>
      <c r="P163" s="1300"/>
      <c r="Q163" s="1300"/>
      <c r="R163" s="1316"/>
      <c r="S163" s="1295"/>
      <c r="T163" s="1295"/>
      <c r="U163" s="1295"/>
      <c r="V163" s="1296"/>
      <c r="X163" s="1301"/>
    </row>
    <row r="164" spans="1:24" s="1006" customFormat="1" ht="12.75">
      <c r="A164" s="1296"/>
      <c r="B164" s="1296"/>
      <c r="C164" s="1296"/>
      <c r="D164" s="1296"/>
      <c r="E164" s="1299"/>
      <c r="F164" s="1299"/>
      <c r="G164" s="1299"/>
      <c r="H164" s="1299"/>
      <c r="I164" s="1299"/>
      <c r="J164" s="1299"/>
      <c r="K164" s="1299"/>
      <c r="L164" s="1299"/>
      <c r="M164" s="1299"/>
      <c r="N164" s="1299"/>
      <c r="O164" s="1296"/>
      <c r="P164" s="1300"/>
      <c r="Q164" s="1300"/>
      <c r="R164" s="1316"/>
      <c r="S164" s="1295"/>
      <c r="T164" s="1295"/>
      <c r="U164" s="1295"/>
      <c r="V164" s="1296"/>
      <c r="X164" s="1301"/>
    </row>
    <row r="165" spans="1:24" s="1006" customFormat="1" ht="12.75">
      <c r="A165" s="1296"/>
      <c r="B165" s="1296"/>
      <c r="C165" s="1296"/>
      <c r="D165" s="1296"/>
      <c r="E165" s="1299"/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6"/>
      <c r="P165" s="1300"/>
      <c r="Q165" s="1300"/>
      <c r="R165" s="1316"/>
      <c r="S165" s="1295"/>
      <c r="T165" s="1295"/>
      <c r="U165" s="1295"/>
      <c r="V165" s="1296"/>
      <c r="X165" s="1301"/>
    </row>
    <row r="166" spans="1:24" s="1006" customFormat="1" ht="12.75">
      <c r="A166" s="1296"/>
      <c r="B166" s="1296"/>
      <c r="C166" s="1296"/>
      <c r="D166" s="1296"/>
      <c r="E166" s="1299"/>
      <c r="F166" s="1299"/>
      <c r="G166" s="1299"/>
      <c r="H166" s="1299"/>
      <c r="I166" s="1299"/>
      <c r="J166" s="1299"/>
      <c r="K166" s="1299"/>
      <c r="L166" s="1299"/>
      <c r="M166" s="1299"/>
      <c r="N166" s="1299"/>
      <c r="O166" s="1296"/>
      <c r="P166" s="1300"/>
      <c r="Q166" s="1300"/>
      <c r="R166" s="1316"/>
      <c r="S166" s="1295"/>
      <c r="T166" s="1295"/>
      <c r="U166" s="1295"/>
      <c r="V166" s="1296"/>
      <c r="X166" s="1301"/>
    </row>
    <row r="167" spans="1:24" s="1006" customFormat="1" ht="12.75">
      <c r="A167" s="1296"/>
      <c r="B167" s="1296"/>
      <c r="C167" s="1296"/>
      <c r="D167" s="1296"/>
      <c r="E167" s="1299"/>
      <c r="F167" s="1299"/>
      <c r="G167" s="1299"/>
      <c r="H167" s="1299"/>
      <c r="I167" s="1299"/>
      <c r="J167" s="1299"/>
      <c r="K167" s="1299"/>
      <c r="L167" s="1299"/>
      <c r="M167" s="1299"/>
      <c r="N167" s="1299"/>
      <c r="O167" s="1296"/>
      <c r="P167" s="1300"/>
      <c r="Q167" s="1300"/>
      <c r="R167" s="1316"/>
      <c r="S167" s="1295"/>
      <c r="T167" s="1295"/>
      <c r="U167" s="1295"/>
      <c r="V167" s="1296"/>
      <c r="X167" s="1301"/>
    </row>
    <row r="168" spans="1:24" s="1006" customFormat="1" ht="12.75">
      <c r="A168" s="1296"/>
      <c r="B168" s="1296"/>
      <c r="C168" s="1296"/>
      <c r="D168" s="1296"/>
      <c r="E168" s="1299"/>
      <c r="F168" s="1299"/>
      <c r="G168" s="1299"/>
      <c r="H168" s="1299"/>
      <c r="I168" s="1299"/>
      <c r="J168" s="1299"/>
      <c r="K168" s="1299"/>
      <c r="L168" s="1299"/>
      <c r="M168" s="1299"/>
      <c r="N168" s="1299"/>
      <c r="O168" s="1296"/>
      <c r="P168" s="1300"/>
      <c r="Q168" s="1300"/>
      <c r="R168" s="1316"/>
      <c r="S168" s="1295"/>
      <c r="T168" s="1295"/>
      <c r="U168" s="1295"/>
      <c r="V168" s="1296"/>
      <c r="X168" s="1301"/>
    </row>
    <row r="169" spans="1:24" s="1006" customFormat="1" ht="12.75">
      <c r="A169" s="1296"/>
      <c r="B169" s="1296"/>
      <c r="C169" s="1296"/>
      <c r="D169" s="1296"/>
      <c r="E169" s="1299"/>
      <c r="F169" s="1299"/>
      <c r="G169" s="1299"/>
      <c r="H169" s="1299"/>
      <c r="I169" s="1299"/>
      <c r="J169" s="1299"/>
      <c r="K169" s="1299"/>
      <c r="L169" s="1299"/>
      <c r="M169" s="1299"/>
      <c r="N169" s="1299"/>
      <c r="O169" s="1296"/>
      <c r="P169" s="1300"/>
      <c r="Q169" s="1300"/>
      <c r="R169" s="1316"/>
      <c r="S169" s="1295"/>
      <c r="T169" s="1295"/>
      <c r="U169" s="1295"/>
      <c r="V169" s="1296"/>
      <c r="X169" s="1301"/>
    </row>
    <row r="170" spans="1:24" s="1006" customFormat="1" ht="12.75">
      <c r="A170" s="1296"/>
      <c r="B170" s="1296"/>
      <c r="C170" s="1296"/>
      <c r="D170" s="1296"/>
      <c r="E170" s="1299"/>
      <c r="F170" s="1299"/>
      <c r="G170" s="1299"/>
      <c r="H170" s="1299"/>
      <c r="I170" s="1299"/>
      <c r="J170" s="1299"/>
      <c r="K170" s="1299"/>
      <c r="L170" s="1299"/>
      <c r="M170" s="1299"/>
      <c r="N170" s="1299"/>
      <c r="O170" s="1296"/>
      <c r="P170" s="1300"/>
      <c r="Q170" s="1300"/>
      <c r="R170" s="1316"/>
      <c r="S170" s="1295"/>
      <c r="T170" s="1295"/>
      <c r="U170" s="1295"/>
      <c r="V170" s="1296"/>
      <c r="X170" s="1301"/>
    </row>
    <row r="171" spans="1:24" s="1006" customFormat="1" ht="12.75">
      <c r="A171" s="1296"/>
      <c r="B171" s="1296"/>
      <c r="C171" s="1296"/>
      <c r="D171" s="1296"/>
      <c r="E171" s="1299"/>
      <c r="F171" s="1299"/>
      <c r="G171" s="1299"/>
      <c r="H171" s="1299"/>
      <c r="I171" s="1299"/>
      <c r="J171" s="1299"/>
      <c r="K171" s="1299"/>
      <c r="L171" s="1299"/>
      <c r="M171" s="1299"/>
      <c r="N171" s="1299"/>
      <c r="O171" s="1296"/>
      <c r="P171" s="1300"/>
      <c r="Q171" s="1300"/>
      <c r="R171" s="1316"/>
      <c r="S171" s="1295"/>
      <c r="T171" s="1295"/>
      <c r="U171" s="1295"/>
      <c r="V171" s="1296"/>
      <c r="X171" s="1301"/>
    </row>
    <row r="172" spans="1:24" s="1006" customFormat="1" ht="12.75">
      <c r="A172" s="1296"/>
      <c r="B172" s="1296"/>
      <c r="C172" s="1296"/>
      <c r="D172" s="1296"/>
      <c r="E172" s="1299"/>
      <c r="F172" s="1299"/>
      <c r="G172" s="1299"/>
      <c r="H172" s="1299"/>
      <c r="I172" s="1299"/>
      <c r="J172" s="1299"/>
      <c r="K172" s="1299"/>
      <c r="L172" s="1299"/>
      <c r="M172" s="1299"/>
      <c r="N172" s="1299"/>
      <c r="O172" s="1296"/>
      <c r="P172" s="1300"/>
      <c r="Q172" s="1300"/>
      <c r="R172" s="1316"/>
      <c r="S172" s="1295"/>
      <c r="T172" s="1295"/>
      <c r="U172" s="1295"/>
      <c r="V172" s="1296"/>
      <c r="X172" s="1301"/>
    </row>
    <row r="173" spans="1:24" s="1006" customFormat="1" ht="12.75">
      <c r="A173" s="1296"/>
      <c r="B173" s="1296"/>
      <c r="C173" s="1296"/>
      <c r="D173" s="1296"/>
      <c r="E173" s="1299"/>
      <c r="F173" s="1299"/>
      <c r="G173" s="1299"/>
      <c r="H173" s="1299"/>
      <c r="I173" s="1299"/>
      <c r="J173" s="1299"/>
      <c r="K173" s="1299"/>
      <c r="L173" s="1299"/>
      <c r="M173" s="1299"/>
      <c r="N173" s="1299"/>
      <c r="O173" s="1296"/>
      <c r="P173" s="1300"/>
      <c r="Q173" s="1300"/>
      <c r="R173" s="1316"/>
      <c r="S173" s="1295"/>
      <c r="T173" s="1295"/>
      <c r="U173" s="1295"/>
      <c r="V173" s="1296"/>
      <c r="X173" s="1301"/>
    </row>
    <row r="174" spans="1:24" s="1006" customFormat="1" ht="12.75">
      <c r="A174" s="1296"/>
      <c r="B174" s="1296"/>
      <c r="C174" s="1296"/>
      <c r="D174" s="1296"/>
      <c r="E174" s="1299"/>
      <c r="F174" s="1299"/>
      <c r="G174" s="1299"/>
      <c r="H174" s="1299"/>
      <c r="I174" s="1299"/>
      <c r="J174" s="1299"/>
      <c r="K174" s="1299"/>
      <c r="L174" s="1299"/>
      <c r="M174" s="1299"/>
      <c r="N174" s="1299"/>
      <c r="O174" s="1296"/>
      <c r="P174" s="1300"/>
      <c r="Q174" s="1300"/>
      <c r="R174" s="1316"/>
      <c r="S174" s="1295"/>
      <c r="T174" s="1295"/>
      <c r="U174" s="1295"/>
      <c r="V174" s="1296"/>
      <c r="X174" s="1301"/>
    </row>
    <row r="175" spans="1:24" s="1006" customFormat="1" ht="12.75">
      <c r="A175" s="1296"/>
      <c r="B175" s="1296"/>
      <c r="C175" s="1296"/>
      <c r="D175" s="1296"/>
      <c r="E175" s="1299"/>
      <c r="F175" s="1299"/>
      <c r="G175" s="1299"/>
      <c r="H175" s="1299"/>
      <c r="I175" s="1299"/>
      <c r="J175" s="1299"/>
      <c r="K175" s="1299"/>
      <c r="L175" s="1299"/>
      <c r="M175" s="1299"/>
      <c r="N175" s="1299"/>
      <c r="O175" s="1296"/>
      <c r="P175" s="1300"/>
      <c r="Q175" s="1300"/>
      <c r="R175" s="1316"/>
      <c r="S175" s="1295"/>
      <c r="T175" s="1295"/>
      <c r="U175" s="1295"/>
      <c r="V175" s="1296"/>
      <c r="X175" s="1301"/>
    </row>
    <row r="176" spans="1:24" s="1006" customFormat="1" ht="12.75">
      <c r="A176" s="1296"/>
      <c r="B176" s="1296"/>
      <c r="C176" s="1296"/>
      <c r="D176" s="1296"/>
      <c r="E176" s="1299"/>
      <c r="F176" s="1299"/>
      <c r="G176" s="1299"/>
      <c r="H176" s="1299"/>
      <c r="I176" s="1299"/>
      <c r="J176" s="1299"/>
      <c r="K176" s="1299"/>
      <c r="L176" s="1299"/>
      <c r="M176" s="1299"/>
      <c r="N176" s="1299"/>
      <c r="O176" s="1296"/>
      <c r="P176" s="1300"/>
      <c r="Q176" s="1300"/>
      <c r="R176" s="1316"/>
      <c r="S176" s="1295"/>
      <c r="T176" s="1295"/>
      <c r="U176" s="1295"/>
      <c r="V176" s="1296"/>
      <c r="X176" s="1301"/>
    </row>
    <row r="177" spans="1:24" s="1006" customFormat="1" ht="12.75">
      <c r="A177" s="1296"/>
      <c r="B177" s="1296"/>
      <c r="C177" s="1296"/>
      <c r="D177" s="1296"/>
      <c r="E177" s="1299"/>
      <c r="F177" s="1299"/>
      <c r="G177" s="1299"/>
      <c r="H177" s="1299"/>
      <c r="I177" s="1299"/>
      <c r="J177" s="1299"/>
      <c r="K177" s="1299"/>
      <c r="L177" s="1299"/>
      <c r="M177" s="1299"/>
      <c r="N177" s="1299"/>
      <c r="O177" s="1296"/>
      <c r="P177" s="1300"/>
      <c r="Q177" s="1300"/>
      <c r="R177" s="1316"/>
      <c r="S177" s="1295"/>
      <c r="T177" s="1295"/>
      <c r="U177" s="1295"/>
      <c r="V177" s="1296"/>
      <c r="X177" s="1301"/>
    </row>
    <row r="178" spans="1:24" s="1006" customFormat="1" ht="12.75">
      <c r="A178" s="1296"/>
      <c r="B178" s="1296"/>
      <c r="C178" s="1296"/>
      <c r="D178" s="1296"/>
      <c r="E178" s="1299"/>
      <c r="F178" s="1299"/>
      <c r="G178" s="1299"/>
      <c r="H178" s="1299"/>
      <c r="I178" s="1299"/>
      <c r="J178" s="1299"/>
      <c r="K178" s="1299"/>
      <c r="L178" s="1299"/>
      <c r="M178" s="1299"/>
      <c r="N178" s="1299"/>
      <c r="O178" s="1296"/>
      <c r="P178" s="1300"/>
      <c r="Q178" s="1300"/>
      <c r="R178" s="1316"/>
      <c r="S178" s="1295"/>
      <c r="T178" s="1295"/>
      <c r="U178" s="1295"/>
      <c r="V178" s="1296"/>
      <c r="X178" s="1301"/>
    </row>
    <row r="179" spans="1:24" s="1006" customFormat="1" ht="12.75">
      <c r="A179" s="1296"/>
      <c r="B179" s="1296"/>
      <c r="C179" s="1296"/>
      <c r="D179" s="1296"/>
      <c r="E179" s="1299"/>
      <c r="F179" s="1299"/>
      <c r="G179" s="1299"/>
      <c r="H179" s="1299"/>
      <c r="I179" s="1299"/>
      <c r="J179" s="1299"/>
      <c r="K179" s="1299"/>
      <c r="L179" s="1299"/>
      <c r="M179" s="1299"/>
      <c r="N179" s="1299"/>
      <c r="O179" s="1296"/>
      <c r="P179" s="1300"/>
      <c r="Q179" s="1300"/>
      <c r="R179" s="1316"/>
      <c r="S179" s="1295"/>
      <c r="T179" s="1295"/>
      <c r="U179" s="1295"/>
      <c r="V179" s="1296"/>
      <c r="X179" s="1301"/>
    </row>
    <row r="180" spans="1:24" s="1006" customFormat="1" ht="12.75">
      <c r="A180" s="1296"/>
      <c r="B180" s="1296"/>
      <c r="C180" s="1296"/>
      <c r="D180" s="1296"/>
      <c r="E180" s="1299"/>
      <c r="F180" s="1299"/>
      <c r="G180" s="1299"/>
      <c r="H180" s="1299"/>
      <c r="I180" s="1299"/>
      <c r="J180" s="1299"/>
      <c r="K180" s="1299"/>
      <c r="L180" s="1299"/>
      <c r="M180" s="1299"/>
      <c r="N180" s="1299"/>
      <c r="O180" s="1296"/>
      <c r="P180" s="1300"/>
      <c r="Q180" s="1300"/>
      <c r="R180" s="1316"/>
      <c r="S180" s="1295"/>
      <c r="T180" s="1295"/>
      <c r="U180" s="1295"/>
      <c r="V180" s="1296"/>
      <c r="X180" s="1301"/>
    </row>
    <row r="181" spans="1:24" s="1006" customFormat="1" ht="12.75">
      <c r="A181" s="1296"/>
      <c r="B181" s="1296"/>
      <c r="C181" s="1296"/>
      <c r="D181" s="1296"/>
      <c r="E181" s="1299"/>
      <c r="F181" s="1299"/>
      <c r="G181" s="1299"/>
      <c r="H181" s="1299"/>
      <c r="I181" s="1299"/>
      <c r="J181" s="1299"/>
      <c r="K181" s="1299"/>
      <c r="L181" s="1299"/>
      <c r="M181" s="1299"/>
      <c r="N181" s="1299"/>
      <c r="O181" s="1296"/>
      <c r="P181" s="1300"/>
      <c r="Q181" s="1300"/>
      <c r="R181" s="1316"/>
      <c r="S181" s="1295"/>
      <c r="T181" s="1295"/>
      <c r="U181" s="1295"/>
      <c r="V181" s="1296"/>
      <c r="X181" s="1301"/>
    </row>
    <row r="182" spans="1:24" s="1006" customFormat="1" ht="12.75">
      <c r="A182" s="1296"/>
      <c r="B182" s="1296"/>
      <c r="C182" s="1296"/>
      <c r="D182" s="1296"/>
      <c r="E182" s="1299"/>
      <c r="F182" s="1299"/>
      <c r="G182" s="1299"/>
      <c r="H182" s="1299"/>
      <c r="I182" s="1299"/>
      <c r="J182" s="1299"/>
      <c r="K182" s="1299"/>
      <c r="L182" s="1299"/>
      <c r="M182" s="1299"/>
      <c r="N182" s="1299"/>
      <c r="O182" s="1296"/>
      <c r="P182" s="1300"/>
      <c r="Q182" s="1300"/>
      <c r="R182" s="1316"/>
      <c r="S182" s="1295"/>
      <c r="T182" s="1295"/>
      <c r="U182" s="1295"/>
      <c r="V182" s="1296"/>
      <c r="X182" s="1301"/>
    </row>
    <row r="183" spans="1:24" s="1006" customFormat="1" ht="12.75">
      <c r="A183" s="1296"/>
      <c r="B183" s="1296"/>
      <c r="C183" s="1296"/>
      <c r="D183" s="1296"/>
      <c r="E183" s="1299"/>
      <c r="F183" s="1299"/>
      <c r="G183" s="1299"/>
      <c r="H183" s="1299"/>
      <c r="I183" s="1299"/>
      <c r="J183" s="1299"/>
      <c r="K183" s="1299"/>
      <c r="L183" s="1299"/>
      <c r="M183" s="1299"/>
      <c r="N183" s="1299"/>
      <c r="O183" s="1296"/>
      <c r="P183" s="1300"/>
      <c r="Q183" s="1300"/>
      <c r="R183" s="1316"/>
      <c r="S183" s="1295"/>
      <c r="T183" s="1295"/>
      <c r="U183" s="1295"/>
      <c r="V183" s="1296"/>
      <c r="X183" s="1301"/>
    </row>
    <row r="184" spans="1:24" s="1006" customFormat="1" ht="12.75">
      <c r="A184" s="1296"/>
      <c r="B184" s="1296"/>
      <c r="C184" s="1296"/>
      <c r="D184" s="1296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6"/>
      <c r="P184" s="1300"/>
      <c r="Q184" s="1300"/>
      <c r="R184" s="1316"/>
      <c r="S184" s="1295"/>
      <c r="T184" s="1295"/>
      <c r="U184" s="1295"/>
      <c r="V184" s="1296"/>
      <c r="X184" s="1301"/>
    </row>
    <row r="185" spans="1:24" s="1006" customFormat="1" ht="12.75">
      <c r="A185" s="1296"/>
      <c r="B185" s="1296"/>
      <c r="C185" s="1296"/>
      <c r="D185" s="1296"/>
      <c r="E185" s="1299"/>
      <c r="F185" s="1299"/>
      <c r="G185" s="1299"/>
      <c r="H185" s="1299"/>
      <c r="I185" s="1299"/>
      <c r="J185" s="1299"/>
      <c r="K185" s="1299"/>
      <c r="L185" s="1299"/>
      <c r="M185" s="1299"/>
      <c r="N185" s="1299"/>
      <c r="O185" s="1296"/>
      <c r="P185" s="1300"/>
      <c r="Q185" s="1300"/>
      <c r="R185" s="1316"/>
      <c r="S185" s="1295"/>
      <c r="T185" s="1295"/>
      <c r="U185" s="1295"/>
      <c r="V185" s="1296"/>
      <c r="X185" s="1301"/>
    </row>
    <row r="186" spans="1:24" s="1006" customFormat="1" ht="12.75">
      <c r="A186" s="1296"/>
      <c r="B186" s="1296"/>
      <c r="C186" s="1296"/>
      <c r="D186" s="1296"/>
      <c r="E186" s="1299"/>
      <c r="F186" s="1299"/>
      <c r="G186" s="1299"/>
      <c r="H186" s="1299"/>
      <c r="I186" s="1299"/>
      <c r="J186" s="1299"/>
      <c r="K186" s="1299"/>
      <c r="L186" s="1299"/>
      <c r="M186" s="1299"/>
      <c r="N186" s="1299"/>
      <c r="O186" s="1296"/>
      <c r="P186" s="1300"/>
      <c r="Q186" s="1300"/>
      <c r="R186" s="1316"/>
      <c r="S186" s="1296"/>
      <c r="T186" s="1296"/>
      <c r="U186" s="1296"/>
      <c r="V186" s="1296"/>
      <c r="X186" s="1301"/>
    </row>
    <row r="187" spans="1:24" s="1006" customFormat="1" ht="12.75">
      <c r="A187" s="1296"/>
      <c r="B187" s="1296"/>
      <c r="C187" s="1296"/>
      <c r="D187" s="1296"/>
      <c r="E187" s="1299"/>
      <c r="F187" s="1299"/>
      <c r="G187" s="1299"/>
      <c r="H187" s="1299"/>
      <c r="I187" s="1299"/>
      <c r="J187" s="1299"/>
      <c r="K187" s="1299"/>
      <c r="L187" s="1299"/>
      <c r="M187" s="1299"/>
      <c r="N187" s="1299"/>
      <c r="O187" s="1296"/>
      <c r="P187" s="1300"/>
      <c r="Q187" s="1300"/>
      <c r="R187" s="1316"/>
      <c r="S187" s="1296"/>
      <c r="T187" s="1296"/>
      <c r="U187" s="1296"/>
      <c r="V187" s="1296"/>
      <c r="X187" s="1301"/>
    </row>
    <row r="188" spans="1:24" s="1006" customFormat="1" ht="12.75">
      <c r="A188" s="1296"/>
      <c r="B188" s="1296"/>
      <c r="C188" s="1296"/>
      <c r="D188" s="1296"/>
      <c r="E188" s="1299"/>
      <c r="F188" s="1299"/>
      <c r="G188" s="1299"/>
      <c r="H188" s="1299"/>
      <c r="I188" s="1299"/>
      <c r="J188" s="1299"/>
      <c r="K188" s="1299"/>
      <c r="L188" s="1299"/>
      <c r="M188" s="1299"/>
      <c r="N188" s="1299"/>
      <c r="O188" s="1296"/>
      <c r="P188" s="1300"/>
      <c r="Q188" s="1300"/>
      <c r="R188" s="1316"/>
      <c r="S188" s="1296"/>
      <c r="T188" s="1296"/>
      <c r="U188" s="1296"/>
      <c r="V188" s="1296"/>
      <c r="X188" s="1301"/>
    </row>
    <row r="189" spans="1:24" s="1006" customFormat="1" ht="12.75">
      <c r="A189" s="1296"/>
      <c r="B189" s="1296"/>
      <c r="C189" s="1296"/>
      <c r="D189" s="1296"/>
      <c r="E189" s="1299"/>
      <c r="F189" s="1299"/>
      <c r="G189" s="1299"/>
      <c r="H189" s="1299"/>
      <c r="I189" s="1299"/>
      <c r="J189" s="1299"/>
      <c r="K189" s="1299"/>
      <c r="L189" s="1299"/>
      <c r="M189" s="1299"/>
      <c r="N189" s="1299"/>
      <c r="O189" s="1296"/>
      <c r="P189" s="1300"/>
      <c r="Q189" s="1300"/>
      <c r="R189" s="1316"/>
      <c r="S189" s="1296"/>
      <c r="T189" s="1296"/>
      <c r="U189" s="1296"/>
      <c r="V189" s="1296"/>
      <c r="X189" s="1301"/>
    </row>
    <row r="190" spans="1:24" s="1006" customFormat="1" ht="12.75">
      <c r="A190" s="1296"/>
      <c r="B190" s="1296"/>
      <c r="C190" s="1296"/>
      <c r="D190" s="1296"/>
      <c r="E190" s="1299"/>
      <c r="F190" s="1299"/>
      <c r="G190" s="1299"/>
      <c r="H190" s="1299"/>
      <c r="I190" s="1299"/>
      <c r="J190" s="1299"/>
      <c r="K190" s="1299"/>
      <c r="L190" s="1299"/>
      <c r="M190" s="1299"/>
      <c r="N190" s="1299"/>
      <c r="O190" s="1296"/>
      <c r="P190" s="1300"/>
      <c r="Q190" s="1300"/>
      <c r="R190" s="1316"/>
      <c r="S190" s="1296"/>
      <c r="T190" s="1296"/>
      <c r="U190" s="1296"/>
      <c r="V190" s="1296"/>
      <c r="X190" s="1301"/>
    </row>
    <row r="191" spans="1:24" s="1006" customFormat="1" ht="12.75">
      <c r="A191" s="1296"/>
      <c r="B191" s="1296"/>
      <c r="C191" s="1296"/>
      <c r="D191" s="1296"/>
      <c r="E191" s="1299"/>
      <c r="F191" s="1299"/>
      <c r="G191" s="1299"/>
      <c r="H191" s="1299"/>
      <c r="I191" s="1299"/>
      <c r="J191" s="1299"/>
      <c r="K191" s="1299"/>
      <c r="L191" s="1299"/>
      <c r="M191" s="1299"/>
      <c r="N191" s="1299"/>
      <c r="O191" s="1296"/>
      <c r="P191" s="1300"/>
      <c r="Q191" s="1300"/>
      <c r="R191" s="1316"/>
      <c r="S191" s="1296"/>
      <c r="T191" s="1296"/>
      <c r="U191" s="1296"/>
      <c r="V191" s="1296"/>
      <c r="X191" s="1301"/>
    </row>
    <row r="192" spans="1:24" s="1006" customFormat="1" ht="12.75">
      <c r="A192" s="1296"/>
      <c r="B192" s="1296"/>
      <c r="C192" s="1296"/>
      <c r="D192" s="1296"/>
      <c r="E192" s="1299"/>
      <c r="F192" s="1299"/>
      <c r="G192" s="1299"/>
      <c r="H192" s="1299"/>
      <c r="I192" s="1299"/>
      <c r="J192" s="1299"/>
      <c r="K192" s="1299"/>
      <c r="L192" s="1299"/>
      <c r="M192" s="1299"/>
      <c r="N192" s="1299"/>
      <c r="O192" s="1296"/>
      <c r="P192" s="1300"/>
      <c r="Q192" s="1300"/>
      <c r="R192" s="1316"/>
      <c r="S192" s="1296"/>
      <c r="T192" s="1296"/>
      <c r="U192" s="1296"/>
      <c r="V192" s="1296"/>
      <c r="X192" s="1301"/>
    </row>
    <row r="193" spans="1:24" s="1006" customFormat="1" ht="12.75">
      <c r="A193" s="1296"/>
      <c r="B193" s="1296"/>
      <c r="C193" s="1296"/>
      <c r="D193" s="1296"/>
      <c r="E193" s="1299"/>
      <c r="F193" s="1299"/>
      <c r="G193" s="1299"/>
      <c r="H193" s="1299"/>
      <c r="I193" s="1299"/>
      <c r="J193" s="1299"/>
      <c r="K193" s="1299"/>
      <c r="L193" s="1299"/>
      <c r="M193" s="1299"/>
      <c r="N193" s="1299"/>
      <c r="O193" s="1296"/>
      <c r="P193" s="1300"/>
      <c r="Q193" s="1300"/>
      <c r="R193" s="1316"/>
      <c r="S193" s="1296"/>
      <c r="T193" s="1296"/>
      <c r="U193" s="1296"/>
      <c r="V193" s="1296"/>
      <c r="X193" s="1301"/>
    </row>
    <row r="194" spans="1:24" s="1006" customFormat="1" ht="12.75">
      <c r="A194" s="1296"/>
      <c r="B194" s="1296"/>
      <c r="C194" s="1296"/>
      <c r="D194" s="1296"/>
      <c r="E194" s="1299"/>
      <c r="F194" s="1299"/>
      <c r="G194" s="1299"/>
      <c r="H194" s="1299"/>
      <c r="I194" s="1299"/>
      <c r="J194" s="1299"/>
      <c r="K194" s="1299"/>
      <c r="L194" s="1299"/>
      <c r="M194" s="1299"/>
      <c r="N194" s="1299"/>
      <c r="O194" s="1296"/>
      <c r="P194" s="1300"/>
      <c r="Q194" s="1300"/>
      <c r="R194" s="1316"/>
      <c r="S194" s="1296"/>
      <c r="T194" s="1296"/>
      <c r="U194" s="1296"/>
      <c r="V194" s="1296"/>
      <c r="X194" s="1301"/>
    </row>
    <row r="195" spans="1:24" s="1006" customFormat="1" ht="12.75">
      <c r="A195" s="1296"/>
      <c r="B195" s="1296"/>
      <c r="C195" s="1296"/>
      <c r="D195" s="1296"/>
      <c r="E195" s="1299"/>
      <c r="F195" s="1299"/>
      <c r="G195" s="1299"/>
      <c r="H195" s="1299"/>
      <c r="I195" s="1299"/>
      <c r="J195" s="1299"/>
      <c r="K195" s="1299"/>
      <c r="L195" s="1299"/>
      <c r="M195" s="1299"/>
      <c r="N195" s="1299"/>
      <c r="O195" s="1296"/>
      <c r="P195" s="1300"/>
      <c r="Q195" s="1300"/>
      <c r="R195" s="1316"/>
      <c r="S195" s="1296"/>
      <c r="T195" s="1296"/>
      <c r="U195" s="1296"/>
      <c r="V195" s="1296"/>
      <c r="X195" s="1301"/>
    </row>
    <row r="196" spans="1:24" s="1006" customFormat="1" ht="12.75">
      <c r="A196" s="1296"/>
      <c r="B196" s="1296"/>
      <c r="C196" s="1296"/>
      <c r="D196" s="1296"/>
      <c r="E196" s="1299"/>
      <c r="F196" s="1299"/>
      <c r="G196" s="1299"/>
      <c r="H196" s="1299"/>
      <c r="I196" s="1299"/>
      <c r="J196" s="1299"/>
      <c r="K196" s="1299"/>
      <c r="L196" s="1299"/>
      <c r="M196" s="1299"/>
      <c r="N196" s="1299"/>
      <c r="O196" s="1296"/>
      <c r="P196" s="1300"/>
      <c r="Q196" s="1300"/>
      <c r="R196" s="1316"/>
      <c r="S196" s="1296"/>
      <c r="T196" s="1296"/>
      <c r="U196" s="1296"/>
      <c r="V196" s="1296"/>
      <c r="X196" s="1301"/>
    </row>
    <row r="197" spans="1:24" s="1006" customFormat="1" ht="12.75">
      <c r="A197" s="1296"/>
      <c r="B197" s="1296"/>
      <c r="C197" s="1296"/>
      <c r="D197" s="1296"/>
      <c r="E197" s="1299"/>
      <c r="F197" s="1299"/>
      <c r="G197" s="1299"/>
      <c r="H197" s="1299"/>
      <c r="I197" s="1299"/>
      <c r="J197" s="1299"/>
      <c r="K197" s="1299"/>
      <c r="L197" s="1299"/>
      <c r="M197" s="1299"/>
      <c r="N197" s="1299"/>
      <c r="O197" s="1296"/>
      <c r="P197" s="1300"/>
      <c r="Q197" s="1300"/>
      <c r="R197" s="1316"/>
      <c r="S197" s="1296"/>
      <c r="T197" s="1296"/>
      <c r="U197" s="1296"/>
      <c r="V197" s="1296"/>
      <c r="X197" s="1301"/>
    </row>
    <row r="198" spans="1:24" s="1006" customFormat="1" ht="12.75">
      <c r="A198" s="1296"/>
      <c r="B198" s="1296"/>
      <c r="C198" s="1296"/>
      <c r="D198" s="1296"/>
      <c r="E198" s="1299"/>
      <c r="F198" s="1299"/>
      <c r="G198" s="1299"/>
      <c r="H198" s="1299"/>
      <c r="I198" s="1299"/>
      <c r="J198" s="1299"/>
      <c r="K198" s="1299"/>
      <c r="L198" s="1299"/>
      <c r="M198" s="1299"/>
      <c r="N198" s="1299"/>
      <c r="O198" s="1296"/>
      <c r="P198" s="1300"/>
      <c r="Q198" s="1300"/>
      <c r="R198" s="1316"/>
      <c r="S198" s="1296"/>
      <c r="T198" s="1296"/>
      <c r="U198" s="1296"/>
      <c r="V198" s="1296"/>
      <c r="X198" s="1301"/>
    </row>
    <row r="199" spans="1:24" s="1006" customFormat="1" ht="12.75">
      <c r="A199" s="1296"/>
      <c r="B199" s="1296"/>
      <c r="C199" s="1296"/>
      <c r="D199" s="1296"/>
      <c r="E199" s="1299"/>
      <c r="F199" s="1299"/>
      <c r="G199" s="1299"/>
      <c r="H199" s="1299"/>
      <c r="I199" s="1299"/>
      <c r="J199" s="1299"/>
      <c r="K199" s="1299"/>
      <c r="L199" s="1299"/>
      <c r="M199" s="1299"/>
      <c r="N199" s="1299"/>
      <c r="O199" s="1296"/>
      <c r="P199" s="1300"/>
      <c r="Q199" s="1300"/>
      <c r="R199" s="1316"/>
      <c r="S199" s="1296"/>
      <c r="T199" s="1296"/>
      <c r="U199" s="1296"/>
      <c r="V199" s="1296"/>
      <c r="X199" s="1301"/>
    </row>
    <row r="200" spans="1:24" s="1006" customFormat="1" ht="12.75">
      <c r="A200" s="1296"/>
      <c r="B200" s="1296"/>
      <c r="C200" s="1296"/>
      <c r="D200" s="1296"/>
      <c r="E200" s="1299"/>
      <c r="F200" s="1299"/>
      <c r="G200" s="1299"/>
      <c r="H200" s="1299"/>
      <c r="I200" s="1299"/>
      <c r="J200" s="1299"/>
      <c r="K200" s="1299"/>
      <c r="L200" s="1299"/>
      <c r="M200" s="1299"/>
      <c r="N200" s="1299"/>
      <c r="O200" s="1296"/>
      <c r="P200" s="1300"/>
      <c r="Q200" s="1300"/>
      <c r="R200" s="1316"/>
      <c r="S200" s="1296"/>
      <c r="T200" s="1296"/>
      <c r="U200" s="1296"/>
      <c r="V200" s="1296"/>
      <c r="X200" s="1301"/>
    </row>
    <row r="201" spans="1:24" s="1006" customFormat="1" ht="12.75">
      <c r="A201" s="1296"/>
      <c r="B201" s="1296"/>
      <c r="C201" s="1296"/>
      <c r="D201" s="1296"/>
      <c r="E201" s="1299"/>
      <c r="F201" s="1299"/>
      <c r="G201" s="1299"/>
      <c r="H201" s="1299"/>
      <c r="I201" s="1299"/>
      <c r="J201" s="1299"/>
      <c r="K201" s="1299"/>
      <c r="L201" s="1299"/>
      <c r="M201" s="1299"/>
      <c r="N201" s="1299"/>
      <c r="O201" s="1296"/>
      <c r="P201" s="1300"/>
      <c r="Q201" s="1300"/>
      <c r="R201" s="1316"/>
      <c r="S201" s="1296"/>
      <c r="T201" s="1296"/>
      <c r="U201" s="1296"/>
      <c r="V201" s="1296"/>
      <c r="X201" s="1301"/>
    </row>
    <row r="202" spans="1:24" s="1006" customFormat="1" ht="12.75">
      <c r="A202" s="1296"/>
      <c r="B202" s="1296"/>
      <c r="C202" s="1296"/>
      <c r="D202" s="1296"/>
      <c r="E202" s="1299"/>
      <c r="F202" s="1299"/>
      <c r="G202" s="1299"/>
      <c r="H202" s="1299"/>
      <c r="I202" s="1299"/>
      <c r="J202" s="1299"/>
      <c r="K202" s="1299"/>
      <c r="L202" s="1299"/>
      <c r="M202" s="1299"/>
      <c r="N202" s="1299"/>
      <c r="O202" s="1296"/>
      <c r="P202" s="1300"/>
      <c r="Q202" s="1300"/>
      <c r="R202" s="1316"/>
      <c r="S202" s="1296"/>
      <c r="T202" s="1296"/>
      <c r="U202" s="1296"/>
      <c r="V202" s="1296"/>
      <c r="X202" s="1301"/>
    </row>
    <row r="203" spans="1:24" s="1006" customFormat="1" ht="12.75">
      <c r="A203" s="1296"/>
      <c r="B203" s="1296"/>
      <c r="C203" s="1296"/>
      <c r="D203" s="1296"/>
      <c r="E203" s="1299"/>
      <c r="F203" s="1299"/>
      <c r="G203" s="1299"/>
      <c r="H203" s="1299"/>
      <c r="I203" s="1299"/>
      <c r="J203" s="1299"/>
      <c r="K203" s="1299"/>
      <c r="L203" s="1299"/>
      <c r="M203" s="1299"/>
      <c r="N203" s="1299"/>
      <c r="O203" s="1296"/>
      <c r="P203" s="1300"/>
      <c r="Q203" s="1300"/>
      <c r="R203" s="1316"/>
      <c r="S203" s="1296"/>
      <c r="T203" s="1296"/>
      <c r="U203" s="1296"/>
      <c r="V203" s="1296"/>
      <c r="X203" s="1301"/>
    </row>
    <row r="204" spans="1:24" s="1006" customFormat="1" ht="12.75">
      <c r="A204" s="1296"/>
      <c r="B204" s="1296"/>
      <c r="C204" s="1296"/>
      <c r="D204" s="1296"/>
      <c r="E204" s="1299"/>
      <c r="F204" s="1299"/>
      <c r="G204" s="1299"/>
      <c r="H204" s="1299"/>
      <c r="I204" s="1299"/>
      <c r="J204" s="1299"/>
      <c r="K204" s="1299"/>
      <c r="L204" s="1299"/>
      <c r="M204" s="1299"/>
      <c r="N204" s="1299"/>
      <c r="O204" s="1296"/>
      <c r="P204" s="1300"/>
      <c r="Q204" s="1300"/>
      <c r="R204" s="1316"/>
      <c r="S204" s="1296"/>
      <c r="T204" s="1296"/>
      <c r="U204" s="1296"/>
      <c r="V204" s="1296"/>
      <c r="X204" s="1301"/>
    </row>
    <row r="205" spans="1:24" s="1006" customFormat="1" ht="12.75">
      <c r="A205" s="1296"/>
      <c r="B205" s="1296"/>
      <c r="C205" s="1296"/>
      <c r="D205" s="1296"/>
      <c r="E205" s="1299"/>
      <c r="F205" s="1299"/>
      <c r="G205" s="1299"/>
      <c r="H205" s="1299"/>
      <c r="I205" s="1299"/>
      <c r="J205" s="1299"/>
      <c r="K205" s="1299"/>
      <c r="L205" s="1299"/>
      <c r="M205" s="1299"/>
      <c r="N205" s="1299"/>
      <c r="O205" s="1296"/>
      <c r="P205" s="1300"/>
      <c r="Q205" s="1300"/>
      <c r="R205" s="1316"/>
      <c r="S205" s="1296"/>
      <c r="T205" s="1296"/>
      <c r="U205" s="1296"/>
      <c r="V205" s="1296"/>
      <c r="X205" s="1301"/>
    </row>
    <row r="206" spans="1:24" s="1006" customFormat="1" ht="12.75">
      <c r="A206" s="1296"/>
      <c r="B206" s="1296"/>
      <c r="C206" s="1296"/>
      <c r="D206" s="1296"/>
      <c r="E206" s="1299"/>
      <c r="F206" s="1299"/>
      <c r="G206" s="1299"/>
      <c r="H206" s="1299"/>
      <c r="I206" s="1299"/>
      <c r="J206" s="1299"/>
      <c r="K206" s="1299"/>
      <c r="L206" s="1299"/>
      <c r="M206" s="1299"/>
      <c r="N206" s="1299"/>
      <c r="O206" s="1296"/>
      <c r="P206" s="1300"/>
      <c r="Q206" s="1300"/>
      <c r="R206" s="1316"/>
      <c r="S206" s="1296"/>
      <c r="T206" s="1296"/>
      <c r="U206" s="1296"/>
      <c r="V206" s="1296"/>
      <c r="X206" s="1301"/>
    </row>
    <row r="207" spans="1:24" s="1006" customFormat="1" ht="12.75">
      <c r="A207" s="1296"/>
      <c r="B207" s="1296"/>
      <c r="C207" s="1296"/>
      <c r="D207" s="1296"/>
      <c r="E207" s="1299"/>
      <c r="F207" s="1299"/>
      <c r="G207" s="1299"/>
      <c r="H207" s="1299"/>
      <c r="I207" s="1299"/>
      <c r="J207" s="1299"/>
      <c r="K207" s="1299"/>
      <c r="L207" s="1299"/>
      <c r="M207" s="1299"/>
      <c r="N207" s="1299"/>
      <c r="O207" s="1296"/>
      <c r="P207" s="1300"/>
      <c r="Q207" s="1300"/>
      <c r="R207" s="1316"/>
      <c r="S207" s="1296"/>
      <c r="T207" s="1296"/>
      <c r="U207" s="1296"/>
      <c r="V207" s="1296"/>
      <c r="X207" s="1301"/>
    </row>
    <row r="208" spans="1:24" s="1006" customFormat="1" ht="12.75">
      <c r="A208" s="1296"/>
      <c r="B208" s="1296"/>
      <c r="C208" s="1296"/>
      <c r="D208" s="1296"/>
      <c r="E208" s="1299"/>
      <c r="F208" s="1299"/>
      <c r="G208" s="1299"/>
      <c r="H208" s="1299"/>
      <c r="I208" s="1299"/>
      <c r="J208" s="1299"/>
      <c r="K208" s="1299"/>
      <c r="L208" s="1299"/>
      <c r="M208" s="1299"/>
      <c r="N208" s="1299"/>
      <c r="O208" s="1296"/>
      <c r="P208" s="1300"/>
      <c r="Q208" s="1300"/>
      <c r="R208" s="1316"/>
      <c r="S208" s="1296"/>
      <c r="T208" s="1296"/>
      <c r="U208" s="1296"/>
      <c r="V208" s="1296"/>
      <c r="X208" s="1301"/>
    </row>
    <row r="209" spans="1:24" s="1006" customFormat="1" ht="12.75">
      <c r="A209" s="1296"/>
      <c r="B209" s="1296"/>
      <c r="C209" s="1296"/>
      <c r="D209" s="1296"/>
      <c r="E209" s="1299"/>
      <c r="F209" s="1299"/>
      <c r="G209" s="1299"/>
      <c r="H209" s="1299"/>
      <c r="I209" s="1299"/>
      <c r="J209" s="1299"/>
      <c r="K209" s="1299"/>
      <c r="L209" s="1299"/>
      <c r="M209" s="1299"/>
      <c r="N209" s="1299"/>
      <c r="O209" s="1296"/>
      <c r="P209" s="1300"/>
      <c r="Q209" s="1300"/>
      <c r="R209" s="1316"/>
      <c r="S209" s="1296"/>
      <c r="T209" s="1296"/>
      <c r="U209" s="1296"/>
      <c r="V209" s="1296"/>
      <c r="X209" s="1301"/>
    </row>
  </sheetData>
  <sheetProtection password="81B0" sheet="1"/>
  <mergeCells count="96">
    <mergeCell ref="S6:U6"/>
    <mergeCell ref="B2:D2"/>
    <mergeCell ref="I2:J2"/>
    <mergeCell ref="L2:N2"/>
    <mergeCell ref="T2:U2"/>
    <mergeCell ref="S4:U4"/>
    <mergeCell ref="S23:U23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44:U44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60:U60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77:U77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95:U95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113:U113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32:U132"/>
    <mergeCell ref="B133:D133"/>
    <mergeCell ref="F134:G134"/>
    <mergeCell ref="L134:N134"/>
    <mergeCell ref="P134:Q134"/>
  </mergeCells>
  <conditionalFormatting sqref="F133:G133">
    <cfRule type="cellIs" dxfId="173" priority="47" stopIfTrue="1" operator="notEqual">
      <formula>0</formula>
    </cfRule>
  </conditionalFormatting>
  <conditionalFormatting sqref="B133">
    <cfRule type="cellIs" dxfId="172" priority="34" operator="equal">
      <formula>0</formula>
    </cfRule>
    <cfRule type="cellIs" dxfId="171" priority="46" stopIfTrue="1" operator="notEqual">
      <formula>0</formula>
    </cfRule>
  </conditionalFormatting>
  <conditionalFormatting sqref="G2">
    <cfRule type="cellIs" dxfId="170" priority="6" stopIfTrue="1" operator="notEqual">
      <formula>0</formula>
    </cfRule>
    <cfRule type="cellIs" dxfId="169" priority="7" stopIfTrue="1" operator="equal">
      <formula>0</formula>
    </cfRule>
    <cfRule type="cellIs" dxfId="168" priority="8" stopIfTrue="1" operator="equal">
      <formula>0</formula>
    </cfRule>
    <cfRule type="cellIs" dxfId="167" priority="45" operator="equal">
      <formula>0</formula>
    </cfRule>
  </conditionalFormatting>
  <conditionalFormatting sqref="I2">
    <cfRule type="cellIs" dxfId="166" priority="44" operator="equal">
      <formula>0</formula>
    </cfRule>
  </conditionalFormatting>
  <conditionalFormatting sqref="F137:G138">
    <cfRule type="cellIs" dxfId="165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64" priority="41" stopIfTrue="1" operator="equal">
      <formula>"НЕРАВНЕНИЕ!"</formula>
    </cfRule>
  </conditionalFormatting>
  <conditionalFormatting sqref="L137:M138">
    <cfRule type="cellIs" dxfId="163" priority="40" stopIfTrue="1" operator="equal">
      <formula>"НЕРАВНЕНИЕ!"</formula>
    </cfRule>
  </conditionalFormatting>
  <conditionalFormatting sqref="F140:G141">
    <cfRule type="cellIs" dxfId="162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61" priority="37" stopIfTrue="1" operator="equal">
      <formula>"НЕРАВНЕНИЕ !"</formula>
    </cfRule>
  </conditionalFormatting>
  <conditionalFormatting sqref="L140:M141">
    <cfRule type="cellIs" dxfId="160" priority="36" stopIfTrue="1" operator="equal">
      <formula>"НЕРАВНЕНИЕ !"</formula>
    </cfRule>
  </conditionalFormatting>
  <conditionalFormatting sqref="I140:J141 L140:L141 N140:N141 F140:G141">
    <cfRule type="cellIs" dxfId="159" priority="35" operator="notEqual">
      <formula>0</formula>
    </cfRule>
  </conditionalFormatting>
  <conditionalFormatting sqref="I133:J133">
    <cfRule type="cellIs" dxfId="158" priority="33" stopIfTrue="1" operator="notEqual">
      <formula>0</formula>
    </cfRule>
  </conditionalFormatting>
  <conditionalFormatting sqref="L82">
    <cfRule type="cellIs" dxfId="157" priority="28" stopIfTrue="1" operator="notEqual">
      <formula>0</formula>
    </cfRule>
  </conditionalFormatting>
  <conditionalFormatting sqref="N82">
    <cfRule type="cellIs" dxfId="156" priority="27" stopIfTrue="1" operator="notEqual">
      <formula>0</formula>
    </cfRule>
  </conditionalFormatting>
  <conditionalFormatting sqref="L133">
    <cfRule type="cellIs" dxfId="155" priority="32" stopIfTrue="1" operator="notEqual">
      <formula>0</formula>
    </cfRule>
  </conditionalFormatting>
  <conditionalFormatting sqref="N133">
    <cfRule type="cellIs" dxfId="154" priority="31" stopIfTrue="1" operator="notEqual">
      <formula>0</formula>
    </cfRule>
  </conditionalFormatting>
  <conditionalFormatting sqref="F82:H82">
    <cfRule type="cellIs" dxfId="153" priority="30" stopIfTrue="1" operator="notEqual">
      <formula>0</formula>
    </cfRule>
  </conditionalFormatting>
  <conditionalFormatting sqref="I82:J82">
    <cfRule type="cellIs" dxfId="152" priority="29" stopIfTrue="1" operator="notEqual">
      <formula>0</formula>
    </cfRule>
  </conditionalFormatting>
  <conditionalFormatting sqref="B82">
    <cfRule type="cellIs" dxfId="151" priority="25" operator="equal">
      <formula>0</formula>
    </cfRule>
    <cfRule type="cellIs" dxfId="150" priority="26" stopIfTrue="1" operator="notEqual">
      <formula>0</formula>
    </cfRule>
  </conditionalFormatting>
  <conditionalFormatting sqref="P133:Q133">
    <cfRule type="cellIs" dxfId="149" priority="24" stopIfTrue="1" operator="notEqual">
      <formula>0</formula>
    </cfRule>
  </conditionalFormatting>
  <conditionalFormatting sqref="P137:Q138">
    <cfRule type="cellIs" dxfId="148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47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46" priority="19" operator="notEqual">
      <formula>0</formula>
    </cfRule>
  </conditionalFormatting>
  <conditionalFormatting sqref="P2">
    <cfRule type="cellIs" dxfId="145" priority="14" stopIfTrue="1" operator="equal">
      <formula>98</formula>
    </cfRule>
    <cfRule type="cellIs" dxfId="144" priority="15" stopIfTrue="1" operator="equal">
      <formula>96</formula>
    </cfRule>
    <cfRule type="cellIs" dxfId="143" priority="16" stopIfTrue="1" operator="equal">
      <formula>42</formula>
    </cfRule>
    <cfRule type="cellIs" dxfId="142" priority="17" stopIfTrue="1" operator="equal">
      <formula>97</formula>
    </cfRule>
    <cfRule type="cellIs" dxfId="141" priority="18" stopIfTrue="1" operator="equal">
      <formula>33</formula>
    </cfRule>
  </conditionalFormatting>
  <conditionalFormatting sqref="Q2">
    <cfRule type="cellIs" dxfId="140" priority="9" stopIfTrue="1" operator="equal">
      <formula>"Чужди средства"</formula>
    </cfRule>
    <cfRule type="cellIs" dxfId="139" priority="10" stopIfTrue="1" operator="equal">
      <formula>"СЕС - ДМП"</formula>
    </cfRule>
    <cfRule type="cellIs" dxfId="138" priority="11" stopIfTrue="1" operator="equal">
      <formula>"СЕС - РА"</formula>
    </cfRule>
    <cfRule type="cellIs" dxfId="137" priority="12" stopIfTrue="1" operator="equal">
      <formula>"СЕС - ДЕС"</formula>
    </cfRule>
    <cfRule type="cellIs" dxfId="136" priority="13" stopIfTrue="1" operator="equal">
      <formula>"СЕС - КСФ"</formula>
    </cfRule>
  </conditionalFormatting>
  <conditionalFormatting sqref="P82:Q82">
    <cfRule type="cellIs" dxfId="135" priority="5" stopIfTrue="1" operator="notEqual">
      <formula>0</formula>
    </cfRule>
  </conditionalFormatting>
  <conditionalFormatting sqref="T2:U2">
    <cfRule type="cellIs" dxfId="134" priority="1" stopIfTrue="1" operator="between">
      <formula>1000000000000</formula>
      <formula>9999999999999990</formula>
    </cfRule>
    <cfRule type="cellIs" dxfId="133" priority="2" stopIfTrue="1" operator="between">
      <formula>10000000000</formula>
      <formula>999999999999</formula>
    </cfRule>
    <cfRule type="cellIs" dxfId="132" priority="3" stopIfTrue="1" operator="between">
      <formula>1000000</formula>
      <formula>99999999</formula>
    </cfRule>
    <cfRule type="cellIs" dxfId="131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48" zoomScale="78" zoomScaleNormal="78" workbookViewId="0">
      <selection activeCell="B1" sqref="B1"/>
    </sheetView>
  </sheetViews>
  <sheetFormatPr defaultRowHeight="12.75"/>
  <cols>
    <col min="1" max="1" width="3.85546875" style="675" hidden="1" customWidth="1"/>
    <col min="2" max="2" width="81.7109375" style="680" customWidth="1"/>
    <col min="3" max="3" width="3.28515625" style="680" hidden="1" customWidth="1"/>
    <col min="4" max="4" width="4.140625" style="680" hidden="1" customWidth="1"/>
    <col min="5" max="6" width="19.140625" style="679" customWidth="1"/>
    <col min="7" max="9" width="19" style="679" customWidth="1"/>
    <col min="10" max="10" width="5.7109375" style="680" customWidth="1"/>
    <col min="11" max="11" width="64" style="675" bestFit="1" customWidth="1"/>
    <col min="12" max="12" width="13.7109375" style="680" hidden="1" customWidth="1"/>
    <col min="13" max="13" width="5.7109375" style="680" customWidth="1"/>
    <col min="14" max="14" width="14.42578125" style="681" customWidth="1"/>
    <col min="15" max="15" width="13.42578125" style="681" customWidth="1"/>
    <col min="16" max="17" width="11.140625" style="681" customWidth="1"/>
    <col min="18" max="18" width="16.28515625" style="681" hidden="1" customWidth="1"/>
    <col min="19" max="19" width="15" style="681" hidden="1" customWidth="1"/>
    <col min="20" max="20" width="15" style="682" customWidth="1"/>
    <col min="21" max="21" width="15.7109375" style="681" hidden="1" customWidth="1"/>
    <col min="22" max="22" width="15.28515625" style="681" hidden="1" customWidth="1"/>
    <col min="23" max="16384" width="9.140625" style="681"/>
  </cols>
  <sheetData>
    <row r="1" spans="1:22" ht="18.75" hidden="1">
      <c r="B1" s="676"/>
      <c r="C1" s="676"/>
      <c r="D1" s="676"/>
      <c r="E1" s="677"/>
      <c r="F1" s="678"/>
      <c r="G1" s="678"/>
      <c r="H1" s="678"/>
      <c r="I1" s="677"/>
      <c r="J1" s="675"/>
      <c r="K1" s="676"/>
      <c r="M1" s="675"/>
    </row>
    <row r="2" spans="1:22" ht="15.75" hidden="1">
      <c r="B2" s="676"/>
      <c r="C2" s="676"/>
      <c r="D2" s="676"/>
      <c r="E2" s="677"/>
      <c r="F2" s="683"/>
      <c r="G2" s="683"/>
      <c r="H2" s="683"/>
      <c r="I2" s="677"/>
      <c r="J2" s="675"/>
      <c r="K2" s="676"/>
      <c r="M2" s="675"/>
    </row>
    <row r="3" spans="1:22" ht="21.75" hidden="1" customHeight="1">
      <c r="B3" s="676"/>
      <c r="C3" s="676"/>
      <c r="D3" s="676"/>
      <c r="E3" s="677"/>
      <c r="F3" s="683"/>
      <c r="G3" s="683"/>
      <c r="H3" s="683"/>
      <c r="I3" s="677"/>
      <c r="J3" s="675"/>
      <c r="M3" s="675"/>
    </row>
    <row r="4" spans="1:22" ht="15.75" hidden="1">
      <c r="B4" s="676"/>
      <c r="C4" s="676"/>
      <c r="D4" s="676"/>
      <c r="E4" s="677"/>
      <c r="F4" s="683"/>
      <c r="G4" s="683"/>
      <c r="H4" s="683"/>
      <c r="I4" s="677"/>
      <c r="J4" s="675"/>
      <c r="K4" s="684"/>
      <c r="M4" s="675"/>
    </row>
    <row r="5" spans="1:22" ht="18" hidden="1" customHeight="1">
      <c r="B5" s="676"/>
      <c r="C5" s="676"/>
      <c r="D5" s="676"/>
      <c r="E5" s="677"/>
      <c r="F5" s="683"/>
      <c r="G5" s="683"/>
      <c r="H5" s="683"/>
      <c r="I5" s="677"/>
      <c r="J5" s="675"/>
      <c r="K5" s="685"/>
      <c r="M5" s="675"/>
    </row>
    <row r="6" spans="1:22" ht="20.25">
      <c r="B6" s="676"/>
      <c r="C6" s="676"/>
      <c r="D6" s="676"/>
      <c r="E6" s="677"/>
      <c r="F6" s="683"/>
      <c r="G6" s="683"/>
      <c r="H6" s="683"/>
      <c r="I6" s="677"/>
      <c r="J6" s="675"/>
      <c r="K6" s="686"/>
      <c r="M6" s="675"/>
    </row>
    <row r="7" spans="1:22" ht="9" hidden="1" customHeight="1">
      <c r="B7" s="686"/>
      <c r="C7" s="686"/>
      <c r="D7" s="686"/>
      <c r="E7" s="677"/>
      <c r="F7" s="677"/>
      <c r="G7" s="677"/>
      <c r="H7" s="677"/>
      <c r="I7" s="677"/>
      <c r="J7" s="675"/>
      <c r="L7" s="675"/>
      <c r="M7" s="675"/>
    </row>
    <row r="8" spans="1:22" ht="22.5" customHeight="1" thickBot="1">
      <c r="B8" s="687" t="str">
        <f>VLOOKUP(E15,SMETKA,3,FALSE)</f>
        <v xml:space="preserve">                                  ОТЧЕТ ЗА КАСОВОТО ИЗПЪЛНЕНИЕ НА БЮДЖЕТА</v>
      </c>
      <c r="C8" s="688"/>
      <c r="D8" s="688"/>
      <c r="E8" s="689"/>
      <c r="F8" s="689"/>
      <c r="G8" s="689"/>
      <c r="H8" s="689"/>
      <c r="I8" s="689"/>
      <c r="J8" s="675"/>
      <c r="L8" s="675"/>
      <c r="M8" s="675"/>
    </row>
    <row r="9" spans="1:22" ht="12" customHeight="1" thickTop="1">
      <c r="B9" s="686"/>
      <c r="C9" s="686"/>
      <c r="D9" s="686"/>
      <c r="E9" s="690"/>
      <c r="F9" s="690"/>
      <c r="G9" s="690"/>
      <c r="H9" s="690"/>
      <c r="I9" s="690"/>
      <c r="J9" s="675"/>
      <c r="L9" s="675"/>
      <c r="M9" s="675"/>
    </row>
    <row r="10" spans="1:22" ht="18.75">
      <c r="B10" s="692"/>
      <c r="C10" s="692"/>
      <c r="D10" s="692"/>
      <c r="E10" s="677"/>
      <c r="F10" s="406"/>
      <c r="G10" s="406"/>
      <c r="H10" s="406"/>
      <c r="I10" s="677"/>
      <c r="J10" s="675"/>
      <c r="K10" s="692"/>
      <c r="M10" s="675"/>
    </row>
    <row r="11" spans="1:22" ht="23.25" customHeight="1">
      <c r="B11" s="693" t="str">
        <f>+OTCHET!B9</f>
        <v>ДЕТСКА ГРАДИНА „СЛЪНЦЕ”</v>
      </c>
      <c r="C11" s="693"/>
      <c r="D11" s="693"/>
      <c r="E11" s="694" t="s">
        <v>953</v>
      </c>
      <c r="F11" s="695">
        <f>OTCHET!F9</f>
        <v>46022</v>
      </c>
      <c r="G11" s="696" t="s">
        <v>954</v>
      </c>
      <c r="H11" s="697">
        <f>OTCHET!H9</f>
        <v>310531</v>
      </c>
      <c r="I11" s="1474">
        <f>OTCHET!I9</f>
        <v>0</v>
      </c>
      <c r="J11" s="675"/>
      <c r="K11" s="698"/>
      <c r="M11" s="675"/>
      <c r="N11" s="699"/>
      <c r="O11" s="699"/>
      <c r="P11" s="699"/>
      <c r="Q11" s="699"/>
    </row>
    <row r="12" spans="1:22" ht="23.25" customHeight="1">
      <c r="B12" s="227" t="s">
        <v>955</v>
      </c>
      <c r="C12" s="700"/>
      <c r="D12" s="692"/>
      <c r="E12" s="677"/>
      <c r="F12" s="701"/>
      <c r="G12" s="677"/>
      <c r="H12" s="235"/>
      <c r="I12" s="1908" t="s">
        <v>952</v>
      </c>
      <c r="J12" s="675"/>
      <c r="K12" s="700"/>
      <c r="M12" s="675"/>
      <c r="N12" s="699"/>
      <c r="O12" s="699"/>
      <c r="P12" s="699"/>
      <c r="Q12" s="699"/>
    </row>
    <row r="13" spans="1:22" ht="23.25" customHeight="1">
      <c r="B13" s="702" t="e">
        <f>+OTCHET!B12</f>
        <v>#N/A</v>
      </c>
      <c r="C13" s="700"/>
      <c r="D13" s="700"/>
      <c r="E13" s="703" t="str">
        <f>+OTCHET!E12</f>
        <v>код по ЕБК:</v>
      </c>
      <c r="F13" s="232" t="str">
        <f>+OTCHET!F12</f>
        <v>1201341</v>
      </c>
      <c r="G13" s="677"/>
      <c r="H13" s="235"/>
      <c r="I13" s="1909"/>
      <c r="J13" s="675"/>
      <c r="K13" s="700"/>
      <c r="M13" s="675"/>
      <c r="N13" s="699"/>
      <c r="O13" s="699"/>
      <c r="P13" s="699"/>
      <c r="Q13" s="699"/>
    </row>
    <row r="14" spans="1:22" ht="23.25" customHeight="1">
      <c r="B14" s="233" t="s">
        <v>956</v>
      </c>
      <c r="C14" s="685"/>
      <c r="D14" s="685"/>
      <c r="E14" s="685"/>
      <c r="F14" s="685"/>
      <c r="G14" s="685"/>
      <c r="H14" s="235"/>
      <c r="I14" s="1909"/>
      <c r="J14" s="675"/>
      <c r="K14" s="685"/>
      <c r="M14" s="675"/>
      <c r="N14" s="699"/>
      <c r="O14" s="699"/>
      <c r="P14" s="699"/>
      <c r="Q14" s="699"/>
    </row>
    <row r="15" spans="1:22" ht="21.75" customHeight="1" thickBot="1">
      <c r="B15" s="704" t="s">
        <v>957</v>
      </c>
      <c r="C15" s="705"/>
      <c r="D15" s="705"/>
      <c r="E15" s="125">
        <f>OTCHET!E15</f>
        <v>0</v>
      </c>
      <c r="F15" s="706" t="str">
        <f>OTCHET!F15</f>
        <v>БЮДЖЕТ</v>
      </c>
      <c r="G15" s="685"/>
      <c r="H15" s="707"/>
      <c r="I15" s="707"/>
      <c r="J15" s="707"/>
      <c r="K15" s="705"/>
      <c r="L15" s="708"/>
      <c r="M15" s="675"/>
      <c r="N15" s="699"/>
      <c r="O15" s="699"/>
      <c r="P15" s="699"/>
      <c r="Q15" s="699"/>
      <c r="R15" s="699"/>
      <c r="S15" s="699"/>
      <c r="U15" s="699"/>
      <c r="V15" s="699"/>
    </row>
    <row r="16" spans="1:22" ht="16.5" thickBot="1">
      <c r="A16" s="709"/>
      <c r="B16" s="710"/>
      <c r="C16" s="710"/>
      <c r="D16" s="710"/>
      <c r="E16" s="711"/>
      <c r="F16" s="711"/>
      <c r="G16" s="711"/>
      <c r="H16" s="711"/>
      <c r="I16" s="711"/>
      <c r="J16" s="712"/>
      <c r="K16" s="713"/>
      <c r="L16" s="714"/>
      <c r="M16" s="675"/>
      <c r="N16" s="699"/>
      <c r="O16" s="699"/>
      <c r="P16" s="699"/>
      <c r="Q16" s="699"/>
      <c r="R16" s="699"/>
      <c r="S16" s="699"/>
      <c r="U16" s="699"/>
      <c r="V16" s="699"/>
    </row>
    <row r="17" spans="1:22" ht="22.5" customHeight="1">
      <c r="A17" s="709"/>
      <c r="B17" s="715"/>
      <c r="C17" s="716" t="s">
        <v>62</v>
      </c>
      <c r="D17" s="716"/>
      <c r="E17" s="1910" t="str">
        <f>CONCATENATE("Годишен         уточнен план                           ",OTCHET!$C$3, " г.")</f>
        <v>Годишен         уточнен план                           2025 г.</v>
      </c>
      <c r="F17" s="1912" t="str">
        <f>CONCATENATE("ОТЧЕТ               ",OTCHET!$C$3, " г.")</f>
        <v>ОТЧЕТ               2025 г.</v>
      </c>
      <c r="G17" s="717" t="s">
        <v>1237</v>
      </c>
      <c r="H17" s="718"/>
      <c r="I17" s="719"/>
      <c r="J17" s="720"/>
      <c r="K17" s="721" t="s">
        <v>958</v>
      </c>
      <c r="L17" s="722"/>
      <c r="M17" s="675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47.25" customHeight="1">
      <c r="A18" s="709"/>
      <c r="B18" s="723" t="s">
        <v>959</v>
      </c>
      <c r="C18" s="724"/>
      <c r="D18" s="724"/>
      <c r="E18" s="1911"/>
      <c r="F18" s="1913"/>
      <c r="G18" s="725" t="s">
        <v>789</v>
      </c>
      <c r="H18" s="726" t="s">
        <v>790</v>
      </c>
      <c r="I18" s="726" t="s">
        <v>788</v>
      </c>
      <c r="J18" s="727"/>
      <c r="K18" s="728"/>
      <c r="L18" s="722"/>
      <c r="M18" s="714"/>
      <c r="N18" s="699"/>
      <c r="O18" s="699"/>
      <c r="P18" s="699"/>
      <c r="Q18" s="699"/>
      <c r="R18" s="699"/>
      <c r="S18" s="699"/>
      <c r="T18" s="699"/>
      <c r="U18" s="699"/>
      <c r="V18" s="699"/>
    </row>
    <row r="19" spans="1:22" ht="15.75" hidden="1">
      <c r="A19" s="709"/>
      <c r="B19" s="729"/>
      <c r="C19" s="729"/>
      <c r="D19" s="729"/>
      <c r="E19" s="730"/>
      <c r="F19" s="730"/>
      <c r="G19" s="731"/>
      <c r="H19" s="732"/>
      <c r="I19" s="732"/>
      <c r="J19" s="727"/>
      <c r="K19" s="733"/>
      <c r="L19" s="722"/>
      <c r="M19" s="714"/>
      <c r="N19" s="699"/>
      <c r="O19" s="699"/>
      <c r="P19" s="699"/>
      <c r="Q19" s="699"/>
      <c r="R19" s="699"/>
      <c r="S19" s="699"/>
      <c r="T19" s="699"/>
      <c r="U19" s="699"/>
      <c r="V19" s="699"/>
    </row>
    <row r="20" spans="1:22" ht="16.5" thickBot="1">
      <c r="A20" s="709"/>
      <c r="B20" s="734" t="s">
        <v>960</v>
      </c>
      <c r="C20" s="735"/>
      <c r="D20" s="735"/>
      <c r="E20" s="736" t="s">
        <v>171</v>
      </c>
      <c r="F20" s="736" t="s">
        <v>172</v>
      </c>
      <c r="G20" s="737" t="s">
        <v>703</v>
      </c>
      <c r="H20" s="738" t="s">
        <v>704</v>
      </c>
      <c r="I20" s="738" t="s">
        <v>683</v>
      </c>
      <c r="J20" s="739"/>
      <c r="K20" s="740"/>
      <c r="L20" s="708"/>
      <c r="M20" s="714"/>
      <c r="N20" s="699"/>
      <c r="O20" s="699"/>
      <c r="P20" s="699"/>
      <c r="Q20" s="699"/>
      <c r="R20" s="699"/>
      <c r="S20" s="699"/>
      <c r="T20" s="699"/>
      <c r="U20" s="699"/>
      <c r="V20" s="699"/>
    </row>
    <row r="21" spans="1:22" ht="15.75">
      <c r="A21" s="709"/>
      <c r="B21" s="741"/>
      <c r="C21" s="741"/>
      <c r="D21" s="741"/>
      <c r="E21" s="742"/>
      <c r="F21" s="742"/>
      <c r="G21" s="743"/>
      <c r="H21" s="744"/>
      <c r="I21" s="744"/>
      <c r="J21" s="745"/>
      <c r="K21" s="746"/>
      <c r="L21" s="747"/>
      <c r="M21" s="714"/>
      <c r="N21" s="699"/>
      <c r="O21" s="699"/>
      <c r="P21" s="699"/>
      <c r="Q21" s="699"/>
      <c r="R21" s="699"/>
      <c r="S21" s="699"/>
      <c r="T21" s="699"/>
      <c r="U21" s="699"/>
      <c r="V21" s="699"/>
    </row>
    <row r="22" spans="1:22" ht="19.5" thickBot="1">
      <c r="A22" s="709">
        <v>10</v>
      </c>
      <c r="B22" s="748" t="s">
        <v>2044</v>
      </c>
      <c r="C22" s="749" t="s">
        <v>173</v>
      </c>
      <c r="D22" s="750"/>
      <c r="E22" s="751">
        <f>+E23+E25+E36+E37</f>
        <v>0</v>
      </c>
      <c r="F22" s="751">
        <f>+F23+F25+F36+F37</f>
        <v>0</v>
      </c>
      <c r="G22" s="752">
        <f>+G23+G25+G36+G37</f>
        <v>0</v>
      </c>
      <c r="H22" s="753">
        <f>+H23+H25+H36+H37</f>
        <v>0</v>
      </c>
      <c r="I22" s="753">
        <f>+I23+I25+I36+I37</f>
        <v>0</v>
      </c>
      <c r="J22" s="754"/>
      <c r="K22" s="755" t="s">
        <v>173</v>
      </c>
      <c r="L22" s="756"/>
      <c r="M22" s="714"/>
      <c r="N22" s="699"/>
      <c r="O22" s="699"/>
      <c r="P22" s="699"/>
      <c r="Q22" s="699"/>
      <c r="R22" s="699"/>
      <c r="S22" s="699"/>
      <c r="T22" s="699"/>
      <c r="U22" s="699"/>
      <c r="V22" s="699"/>
    </row>
    <row r="23" spans="1:22" ht="16.5" thickTop="1">
      <c r="A23" s="709">
        <v>15</v>
      </c>
      <c r="B23" s="757" t="s">
        <v>846</v>
      </c>
      <c r="C23" s="757" t="s">
        <v>357</v>
      </c>
      <c r="D23" s="757"/>
      <c r="E23" s="758">
        <f>OTCHET!E22+OTCHET!E28+OTCHET!E33+OTCHET!E39+OTCHET!E47+OTCHET!E52+OTCHET!E58+OTCHET!E61+OTCHET!E64+OTCHET!E65+OTCHET!E72+OTCHET!E73</f>
        <v>0</v>
      </c>
      <c r="F23" s="758">
        <f>+G23+H23+I23</f>
        <v>0</v>
      </c>
      <c r="G23" s="759">
        <f>OTCHET!I22+OTCHET!I28+OTCHET!I33+OTCHET!I39+OTCHET!I47+OTCHET!I52+OTCHET!I58+OTCHET!I61+OTCHET!I64+OTCHET!I65+OTCHET!I72+OTCHET!I73</f>
        <v>0</v>
      </c>
      <c r="H23" s="760">
        <f>OTCHET!J22+OTCHET!J28+OTCHET!J33+OTCHET!J39+OTCHET!J47+OTCHET!J52+OTCHET!J58+OTCHET!J61+OTCHET!J64+OTCHET!J65+OTCHET!J72+OTCHET!J73</f>
        <v>0</v>
      </c>
      <c r="I23" s="760">
        <f>OTCHET!K22+OTCHET!K28+OTCHET!K33+OTCHET!K39+OTCHET!K47+OTCHET!K52+OTCHET!K58+OTCHET!K61+OTCHET!K64+OTCHET!K65+OTCHET!K72+OTCHET!K73</f>
        <v>0</v>
      </c>
      <c r="J23" s="761"/>
      <c r="K23" s="762" t="s">
        <v>357</v>
      </c>
      <c r="L23" s="763"/>
      <c r="M23" s="714"/>
      <c r="N23" s="699"/>
      <c r="O23" s="699"/>
      <c r="P23" s="699"/>
      <c r="Q23" s="699"/>
      <c r="R23" s="699"/>
      <c r="S23" s="699"/>
      <c r="T23" s="699"/>
      <c r="U23" s="699"/>
      <c r="V23" s="699"/>
    </row>
    <row r="24" spans="1:22" ht="16.5" hidden="1" customHeight="1" thickBot="1">
      <c r="A24" s="709"/>
      <c r="B24" s="764" t="s">
        <v>335</v>
      </c>
      <c r="C24" s="764" t="s">
        <v>332</v>
      </c>
      <c r="D24" s="764"/>
      <c r="E24" s="765"/>
      <c r="F24" s="765">
        <f>+G24+H24+I24</f>
        <v>0</v>
      </c>
      <c r="G24" s="766"/>
      <c r="H24" s="767"/>
      <c r="I24" s="767"/>
      <c r="J24" s="761"/>
      <c r="K24" s="768" t="s">
        <v>332</v>
      </c>
      <c r="L24" s="763"/>
      <c r="M24" s="714"/>
      <c r="N24" s="699"/>
      <c r="O24" s="699"/>
      <c r="P24" s="699"/>
      <c r="Q24" s="699"/>
      <c r="R24" s="699"/>
      <c r="S24" s="699"/>
      <c r="T24" s="699"/>
      <c r="U24" s="699"/>
      <c r="V24" s="699"/>
    </row>
    <row r="25" spans="1:22" ht="15.75">
      <c r="A25" s="709">
        <v>20</v>
      </c>
      <c r="B25" s="769" t="s">
        <v>961</v>
      </c>
      <c r="C25" s="769" t="s">
        <v>826</v>
      </c>
      <c r="D25" s="769"/>
      <c r="E25" s="770">
        <f>+E26+E30+E31+E32+E33</f>
        <v>0</v>
      </c>
      <c r="F25" s="770">
        <f>+F26+F30+F31+F32+F33</f>
        <v>0</v>
      </c>
      <c r="G25" s="771">
        <f>+G26+G30+G31+G32+G33</f>
        <v>0</v>
      </c>
      <c r="H25" s="772">
        <f>+H26+H30+H31+H32+H33</f>
        <v>0</v>
      </c>
      <c r="I25" s="772">
        <f>+I26+I30+I31+I32+I33</f>
        <v>0</v>
      </c>
      <c r="J25" s="761"/>
      <c r="K25" s="773" t="s">
        <v>826</v>
      </c>
      <c r="L25" s="763"/>
      <c r="M25" s="714"/>
      <c r="N25" s="699"/>
      <c r="O25" s="699"/>
      <c r="P25" s="699"/>
      <c r="Q25" s="699"/>
      <c r="R25" s="699"/>
      <c r="S25" s="699"/>
      <c r="T25" s="699"/>
      <c r="U25" s="699"/>
      <c r="V25" s="699"/>
    </row>
    <row r="26" spans="1:22" ht="15.75">
      <c r="A26" s="709">
        <v>25</v>
      </c>
      <c r="B26" s="774" t="s">
        <v>41</v>
      </c>
      <c r="C26" s="774" t="s">
        <v>827</v>
      </c>
      <c r="D26" s="774"/>
      <c r="E26" s="775">
        <f>OTCHET!E74</f>
        <v>0</v>
      </c>
      <c r="F26" s="775">
        <f t="shared" ref="F26:F37" si="0">+G26+H26+I26</f>
        <v>0</v>
      </c>
      <c r="G26" s="776">
        <f>OTCHET!I74</f>
        <v>0</v>
      </c>
      <c r="H26" s="777">
        <f>OTCHET!J74</f>
        <v>0</v>
      </c>
      <c r="I26" s="777">
        <f>OTCHET!K74</f>
        <v>0</v>
      </c>
      <c r="J26" s="761"/>
      <c r="K26" s="778" t="s">
        <v>827</v>
      </c>
      <c r="L26" s="763"/>
      <c r="M26" s="714"/>
      <c r="N26" s="699"/>
      <c r="O26" s="699"/>
      <c r="P26" s="699"/>
      <c r="Q26" s="699"/>
      <c r="R26" s="699"/>
      <c r="S26" s="699"/>
      <c r="T26" s="699"/>
      <c r="U26" s="699"/>
      <c r="V26" s="699"/>
    </row>
    <row r="27" spans="1:22" ht="15.75">
      <c r="A27" s="709">
        <v>26</v>
      </c>
      <c r="B27" s="779" t="s">
        <v>962</v>
      </c>
      <c r="C27" s="780" t="s">
        <v>336</v>
      </c>
      <c r="D27" s="779"/>
      <c r="E27" s="781">
        <f>OTCHET!E75</f>
        <v>0</v>
      </c>
      <c r="F27" s="781">
        <f t="shared" si="0"/>
        <v>0</v>
      </c>
      <c r="G27" s="782">
        <f>OTCHET!I75</f>
        <v>0</v>
      </c>
      <c r="H27" s="783">
        <f>OTCHET!J75</f>
        <v>0</v>
      </c>
      <c r="I27" s="783">
        <f>OTCHET!K75</f>
        <v>0</v>
      </c>
      <c r="J27" s="761"/>
      <c r="K27" s="784" t="s">
        <v>336</v>
      </c>
      <c r="L27" s="763"/>
      <c r="M27" s="714"/>
      <c r="N27" s="699"/>
      <c r="O27" s="699"/>
      <c r="P27" s="699"/>
      <c r="Q27" s="699"/>
      <c r="R27" s="699"/>
      <c r="S27" s="699"/>
      <c r="T27" s="699"/>
      <c r="U27" s="699"/>
      <c r="V27" s="699"/>
    </row>
    <row r="28" spans="1:22" ht="15.75">
      <c r="A28" s="709">
        <v>30</v>
      </c>
      <c r="B28" s="785" t="s">
        <v>333</v>
      </c>
      <c r="C28" s="786" t="s">
        <v>337</v>
      </c>
      <c r="D28" s="785"/>
      <c r="E28" s="787">
        <f>OTCHET!E77</f>
        <v>0</v>
      </c>
      <c r="F28" s="787">
        <f t="shared" si="0"/>
        <v>0</v>
      </c>
      <c r="G28" s="788">
        <f>OTCHET!I77</f>
        <v>0</v>
      </c>
      <c r="H28" s="789">
        <f>OTCHET!J77</f>
        <v>0</v>
      </c>
      <c r="I28" s="789">
        <f>OTCHET!K77</f>
        <v>0</v>
      </c>
      <c r="J28" s="761"/>
      <c r="K28" s="790" t="s">
        <v>337</v>
      </c>
      <c r="L28" s="763"/>
      <c r="M28" s="714"/>
      <c r="N28" s="699"/>
      <c r="O28" s="699"/>
      <c r="P28" s="699"/>
      <c r="Q28" s="699"/>
      <c r="R28" s="699"/>
      <c r="S28" s="699"/>
      <c r="T28" s="699"/>
      <c r="U28" s="699"/>
      <c r="V28" s="699"/>
    </row>
    <row r="29" spans="1:22" ht="15.75">
      <c r="A29" s="709">
        <v>35</v>
      </c>
      <c r="B29" s="791" t="s">
        <v>42</v>
      </c>
      <c r="C29" s="792" t="s">
        <v>338</v>
      </c>
      <c r="D29" s="791"/>
      <c r="E29" s="793">
        <f>+OTCHET!E78+OTCHET!E79</f>
        <v>0</v>
      </c>
      <c r="F29" s="793">
        <f t="shared" si="0"/>
        <v>0</v>
      </c>
      <c r="G29" s="794">
        <f>+OTCHET!I78+OTCHET!I79</f>
        <v>0</v>
      </c>
      <c r="H29" s="795">
        <f>+OTCHET!J78+OTCHET!J79</f>
        <v>0</v>
      </c>
      <c r="I29" s="795">
        <f>+OTCHET!K78+OTCHET!K79</f>
        <v>0</v>
      </c>
      <c r="J29" s="761"/>
      <c r="K29" s="796" t="s">
        <v>338</v>
      </c>
      <c r="L29" s="763"/>
      <c r="M29" s="714"/>
      <c r="N29" s="699"/>
      <c r="O29" s="699"/>
      <c r="P29" s="699"/>
      <c r="Q29" s="699"/>
      <c r="R29" s="699"/>
      <c r="S29" s="699"/>
      <c r="T29" s="699"/>
      <c r="U29" s="699"/>
      <c r="V29" s="699"/>
    </row>
    <row r="30" spans="1:22" ht="15.75">
      <c r="A30" s="709">
        <v>40</v>
      </c>
      <c r="B30" s="797" t="s">
        <v>43</v>
      </c>
      <c r="C30" s="797" t="s">
        <v>339</v>
      </c>
      <c r="D30" s="797"/>
      <c r="E30" s="798">
        <f>OTCHET!E90+OTCHET!E93+OTCHET!E94</f>
        <v>0</v>
      </c>
      <c r="F30" s="798">
        <f t="shared" si="0"/>
        <v>0</v>
      </c>
      <c r="G30" s="799">
        <f>OTCHET!I90+OTCHET!I93+OTCHET!I94</f>
        <v>0</v>
      </c>
      <c r="H30" s="800">
        <f>OTCHET!J90+OTCHET!J93+OTCHET!J94</f>
        <v>0</v>
      </c>
      <c r="I30" s="800">
        <f>OTCHET!K90+OTCHET!K93+OTCHET!K94</f>
        <v>0</v>
      </c>
      <c r="J30" s="761"/>
      <c r="K30" s="801" t="s">
        <v>339</v>
      </c>
      <c r="L30" s="763"/>
      <c r="M30" s="714"/>
      <c r="N30" s="699"/>
      <c r="O30" s="699"/>
      <c r="P30" s="699"/>
      <c r="Q30" s="699"/>
      <c r="R30" s="699"/>
      <c r="S30" s="699"/>
      <c r="T30" s="699"/>
      <c r="U30" s="699"/>
      <c r="V30" s="699"/>
    </row>
    <row r="31" spans="1:22" ht="15.75">
      <c r="A31" s="709">
        <v>45</v>
      </c>
      <c r="B31" s="802" t="s">
        <v>319</v>
      </c>
      <c r="C31" s="802" t="s">
        <v>828</v>
      </c>
      <c r="D31" s="802"/>
      <c r="E31" s="803">
        <f>OTCHET!E106</f>
        <v>0</v>
      </c>
      <c r="F31" s="803">
        <f t="shared" si="0"/>
        <v>0</v>
      </c>
      <c r="G31" s="804">
        <f>OTCHET!I106</f>
        <v>0</v>
      </c>
      <c r="H31" s="805">
        <f>OTCHET!J106</f>
        <v>0</v>
      </c>
      <c r="I31" s="805">
        <f>OTCHET!K106</f>
        <v>0</v>
      </c>
      <c r="J31" s="761"/>
      <c r="K31" s="806" t="s">
        <v>828</v>
      </c>
      <c r="L31" s="763"/>
      <c r="M31" s="714"/>
      <c r="N31" s="699"/>
      <c r="O31" s="699"/>
      <c r="P31" s="699"/>
      <c r="Q31" s="699"/>
      <c r="R31" s="699"/>
      <c r="S31" s="699"/>
      <c r="T31" s="699"/>
      <c r="U31" s="699"/>
      <c r="V31" s="699"/>
    </row>
    <row r="32" spans="1:22" ht="15.75">
      <c r="A32" s="709">
        <v>50</v>
      </c>
      <c r="B32" s="802" t="s">
        <v>320</v>
      </c>
      <c r="C32" s="802" t="s">
        <v>455</v>
      </c>
      <c r="D32" s="802"/>
      <c r="E32" s="803">
        <f>OTCHET!E110+OTCHET!E119+OTCHET!E135+OTCHET!E136</f>
        <v>0</v>
      </c>
      <c r="F32" s="803">
        <f t="shared" si="0"/>
        <v>0</v>
      </c>
      <c r="G32" s="804">
        <f>OTCHET!I110+OTCHET!I119+OTCHET!I135+OTCHET!I136</f>
        <v>0</v>
      </c>
      <c r="H32" s="805">
        <f>OTCHET!J110+OTCHET!J119+OTCHET!J135+OTCHET!J136</f>
        <v>0</v>
      </c>
      <c r="I32" s="805">
        <f>OTCHET!K110+OTCHET!K119+OTCHET!K135+OTCHET!K136</f>
        <v>0</v>
      </c>
      <c r="J32" s="761"/>
      <c r="K32" s="806" t="s">
        <v>455</v>
      </c>
      <c r="L32" s="763"/>
      <c r="M32" s="714"/>
      <c r="N32" s="699"/>
      <c r="O32" s="699"/>
      <c r="P32" s="699"/>
      <c r="Q32" s="699"/>
      <c r="R32" s="699"/>
      <c r="S32" s="699"/>
      <c r="T32" s="699"/>
      <c r="U32" s="699"/>
      <c r="V32" s="699"/>
    </row>
    <row r="33" spans="1:22" ht="15.75">
      <c r="A33" s="709">
        <v>51</v>
      </c>
      <c r="B33" s="807" t="s">
        <v>65</v>
      </c>
      <c r="C33" s="808" t="s">
        <v>369</v>
      </c>
      <c r="D33" s="807"/>
      <c r="E33" s="765">
        <f>OTCHET!E123</f>
        <v>0</v>
      </c>
      <c r="F33" s="765">
        <f t="shared" si="0"/>
        <v>0</v>
      </c>
      <c r="G33" s="766">
        <f>OTCHET!I123</f>
        <v>0</v>
      </c>
      <c r="H33" s="767">
        <f>OTCHET!J123</f>
        <v>0</v>
      </c>
      <c r="I33" s="767">
        <f>OTCHET!K123</f>
        <v>0</v>
      </c>
      <c r="J33" s="761"/>
      <c r="K33" s="768" t="s">
        <v>369</v>
      </c>
      <c r="L33" s="763"/>
      <c r="M33" s="714"/>
      <c r="N33" s="699"/>
      <c r="O33" s="699"/>
      <c r="P33" s="699"/>
      <c r="Q33" s="699"/>
      <c r="R33" s="699"/>
      <c r="S33" s="699"/>
      <c r="T33" s="699"/>
      <c r="U33" s="699"/>
      <c r="V33" s="699"/>
    </row>
    <row r="34" spans="1:22" ht="16.5" hidden="1" customHeight="1" thickBot="1">
      <c r="A34" s="709">
        <v>52</v>
      </c>
      <c r="B34" s="809"/>
      <c r="C34" s="810"/>
      <c r="D34" s="810"/>
      <c r="E34" s="811"/>
      <c r="F34" s="811">
        <f t="shared" si="0"/>
        <v>0</v>
      </c>
      <c r="G34" s="812"/>
      <c r="H34" s="813"/>
      <c r="I34" s="813"/>
      <c r="J34" s="761"/>
      <c r="K34" s="814"/>
      <c r="L34" s="763"/>
      <c r="M34" s="714"/>
      <c r="N34" s="699"/>
      <c r="O34" s="699"/>
      <c r="P34" s="699"/>
      <c r="Q34" s="699"/>
      <c r="R34" s="699"/>
      <c r="S34" s="699"/>
      <c r="T34" s="699"/>
      <c r="U34" s="699"/>
      <c r="V34" s="699"/>
    </row>
    <row r="35" spans="1:22" ht="16.5" hidden="1" customHeight="1" thickBot="1">
      <c r="A35" s="709"/>
      <c r="B35" s="815"/>
      <c r="C35" s="815"/>
      <c r="D35" s="815"/>
      <c r="E35" s="816"/>
      <c r="F35" s="816">
        <f t="shared" si="0"/>
        <v>0</v>
      </c>
      <c r="G35" s="817"/>
      <c r="H35" s="818"/>
      <c r="I35" s="818"/>
      <c r="J35" s="761"/>
      <c r="K35" s="819"/>
      <c r="L35" s="763"/>
      <c r="M35" s="714"/>
      <c r="N35" s="699"/>
      <c r="O35" s="699"/>
      <c r="P35" s="699"/>
      <c r="Q35" s="699"/>
      <c r="R35" s="699"/>
      <c r="S35" s="699"/>
      <c r="T35" s="699"/>
      <c r="U35" s="699"/>
      <c r="V35" s="699"/>
    </row>
    <row r="36" spans="1:22" ht="15.75">
      <c r="A36" s="709">
        <v>60</v>
      </c>
      <c r="B36" s="820" t="s">
        <v>327</v>
      </c>
      <c r="C36" s="820" t="s">
        <v>829</v>
      </c>
      <c r="D36" s="820"/>
      <c r="E36" s="821">
        <f>+OTCHET!E137</f>
        <v>0</v>
      </c>
      <c r="F36" s="821">
        <f t="shared" si="0"/>
        <v>0</v>
      </c>
      <c r="G36" s="822">
        <f>+OTCHET!I137</f>
        <v>0</v>
      </c>
      <c r="H36" s="823">
        <f>+OTCHET!J137</f>
        <v>0</v>
      </c>
      <c r="I36" s="823">
        <f>+OTCHET!K137</f>
        <v>0</v>
      </c>
      <c r="J36" s="824"/>
      <c r="K36" s="825" t="s">
        <v>829</v>
      </c>
      <c r="L36" s="763"/>
      <c r="M36" s="714"/>
      <c r="N36" s="699"/>
      <c r="O36" s="699"/>
      <c r="P36" s="699"/>
      <c r="Q36" s="699"/>
      <c r="R36" s="699"/>
      <c r="S36" s="699"/>
      <c r="T36" s="699"/>
      <c r="U36" s="699"/>
      <c r="V36" s="699"/>
    </row>
    <row r="37" spans="1:22" ht="15.75">
      <c r="A37" s="709">
        <v>65</v>
      </c>
      <c r="B37" s="826" t="s">
        <v>308</v>
      </c>
      <c r="C37" s="826" t="s">
        <v>174</v>
      </c>
      <c r="D37" s="826"/>
      <c r="E37" s="827">
        <f>OTCHET!E140+OTCHET!E149+OTCHET!E158</f>
        <v>0</v>
      </c>
      <c r="F37" s="827">
        <f t="shared" si="0"/>
        <v>0</v>
      </c>
      <c r="G37" s="828">
        <f>OTCHET!I140+OTCHET!I149+OTCHET!I158</f>
        <v>0</v>
      </c>
      <c r="H37" s="829">
        <f>OTCHET!J140+OTCHET!J149+OTCHET!J158</f>
        <v>0</v>
      </c>
      <c r="I37" s="829">
        <f>OTCHET!K140+OTCHET!K149+OTCHET!K158</f>
        <v>0</v>
      </c>
      <c r="J37" s="824"/>
      <c r="K37" s="830" t="s">
        <v>174</v>
      </c>
      <c r="L37" s="763"/>
      <c r="M37" s="831"/>
      <c r="N37" s="699"/>
      <c r="O37" s="699"/>
      <c r="P37" s="699"/>
      <c r="Q37" s="699"/>
      <c r="R37" s="699"/>
      <c r="S37" s="699"/>
      <c r="T37" s="699"/>
      <c r="U37" s="699"/>
      <c r="V37" s="699"/>
    </row>
    <row r="38" spans="1:22" ht="19.5" thickBot="1">
      <c r="A38" s="675">
        <v>70</v>
      </c>
      <c r="B38" s="832" t="s">
        <v>49</v>
      </c>
      <c r="C38" s="833" t="s">
        <v>833</v>
      </c>
      <c r="D38" s="834"/>
      <c r="E38" s="835">
        <f>E39+E43+E44+E46+SUM(E48:E52)+E55</f>
        <v>0</v>
      </c>
      <c r="F38" s="835">
        <f>F39+F43+F44+F46+SUM(F48:F52)+F55</f>
        <v>1048064</v>
      </c>
      <c r="G38" s="836">
        <f>G39+G43+G44+G46+SUM(G48:G52)+G55</f>
        <v>1048064</v>
      </c>
      <c r="H38" s="837">
        <f>H39+H43+H44+H46+SUM(H48:H52)+H55</f>
        <v>0</v>
      </c>
      <c r="I38" s="837">
        <f>I39+I43+I44+I46+SUM(I48:I52)+I55</f>
        <v>0</v>
      </c>
      <c r="J38" s="761"/>
      <c r="K38" s="838" t="s">
        <v>833</v>
      </c>
      <c r="L38" s="839"/>
      <c r="M38" s="840"/>
      <c r="N38" s="841"/>
      <c r="O38" s="841"/>
      <c r="P38" s="841"/>
      <c r="Q38" s="841"/>
      <c r="R38" s="841"/>
      <c r="S38" s="841"/>
      <c r="T38" s="842"/>
      <c r="U38" s="841"/>
      <c r="V38" s="841"/>
    </row>
    <row r="39" spans="1:22" ht="15.75" customHeight="1" thickTop="1">
      <c r="B39" s="1678" t="s">
        <v>2010</v>
      </c>
      <c r="C39" s="929"/>
      <c r="D39" s="1677"/>
      <c r="E39" s="798">
        <f>SUM(E40:E42)</f>
        <v>0</v>
      </c>
      <c r="F39" s="798">
        <f>SUM(F40:F42)</f>
        <v>896597</v>
      </c>
      <c r="G39" s="799">
        <f>SUM(G40:G42)</f>
        <v>896597</v>
      </c>
      <c r="H39" s="800">
        <f>SUM(H40:H42)</f>
        <v>0</v>
      </c>
      <c r="I39" s="1679">
        <f>SUM(I40:I42)</f>
        <v>0</v>
      </c>
      <c r="J39" s="843"/>
      <c r="K39" s="801" t="s">
        <v>2011</v>
      </c>
      <c r="L39" s="839"/>
      <c r="M39" s="840"/>
      <c r="N39" s="841"/>
      <c r="O39" s="841"/>
      <c r="P39" s="841"/>
      <c r="Q39" s="841"/>
      <c r="R39" s="841"/>
      <c r="S39" s="841"/>
      <c r="T39" s="842"/>
      <c r="U39" s="841"/>
      <c r="V39" s="841"/>
    </row>
    <row r="40" spans="1:22" ht="15.75">
      <c r="A40" s="675">
        <v>75</v>
      </c>
      <c r="B40" s="860" t="s">
        <v>2012</v>
      </c>
      <c r="C40" s="859" t="s">
        <v>830</v>
      </c>
      <c r="D40" s="860"/>
      <c r="E40" s="861">
        <f>OTCHET!E187</f>
        <v>0</v>
      </c>
      <c r="F40" s="861">
        <f t="shared" ref="F40:F55" si="1">+G40+H40+I40</f>
        <v>688218</v>
      </c>
      <c r="G40" s="862">
        <f>OTCHET!I187</f>
        <v>688218</v>
      </c>
      <c r="H40" s="863">
        <f>OTCHET!J187</f>
        <v>0</v>
      </c>
      <c r="I40" s="1401">
        <f>OTCHET!K187</f>
        <v>0</v>
      </c>
      <c r="J40" s="843"/>
      <c r="K40" s="864" t="s">
        <v>830</v>
      </c>
      <c r="L40" s="839"/>
      <c r="M40" s="840"/>
      <c r="N40" s="841"/>
      <c r="O40" s="841"/>
      <c r="P40" s="841"/>
      <c r="Q40" s="841"/>
      <c r="R40" s="841"/>
      <c r="S40" s="841"/>
      <c r="T40" s="842"/>
      <c r="U40" s="841"/>
      <c r="V40" s="841"/>
    </row>
    <row r="41" spans="1:22" ht="15.75">
      <c r="A41" s="675">
        <v>80</v>
      </c>
      <c r="B41" s="1680" t="s">
        <v>2013</v>
      </c>
      <c r="C41" s="1681" t="s">
        <v>831</v>
      </c>
      <c r="D41" s="1680"/>
      <c r="E41" s="1682">
        <f>OTCHET!E190</f>
        <v>0</v>
      </c>
      <c r="F41" s="1682">
        <f t="shared" si="1"/>
        <v>38346</v>
      </c>
      <c r="G41" s="1683">
        <f>OTCHET!I190</f>
        <v>38346</v>
      </c>
      <c r="H41" s="1684">
        <f>OTCHET!J190</f>
        <v>0</v>
      </c>
      <c r="I41" s="1685">
        <f>OTCHET!K190</f>
        <v>0</v>
      </c>
      <c r="J41" s="843"/>
      <c r="K41" s="1686" t="s">
        <v>831</v>
      </c>
      <c r="L41" s="839"/>
      <c r="M41" s="840"/>
      <c r="N41" s="841"/>
      <c r="O41" s="841"/>
      <c r="P41" s="841"/>
      <c r="Q41" s="841"/>
      <c r="R41" s="841"/>
      <c r="S41" s="841"/>
      <c r="T41" s="842"/>
      <c r="U41" s="841"/>
      <c r="V41" s="841"/>
    </row>
    <row r="42" spans="1:22" ht="15.75">
      <c r="A42" s="675">
        <v>85</v>
      </c>
      <c r="B42" s="1680" t="s">
        <v>2014</v>
      </c>
      <c r="C42" s="1681" t="s">
        <v>66</v>
      </c>
      <c r="D42" s="1680"/>
      <c r="E42" s="1682">
        <f>+OTCHET!E196+OTCHET!E204</f>
        <v>0</v>
      </c>
      <c r="F42" s="1682">
        <f t="shared" si="1"/>
        <v>170033</v>
      </c>
      <c r="G42" s="1683">
        <f>+OTCHET!I196+OTCHET!I204</f>
        <v>170033</v>
      </c>
      <c r="H42" s="1684">
        <f>+OTCHET!J196+OTCHET!J204</f>
        <v>0</v>
      </c>
      <c r="I42" s="1685">
        <f>+OTCHET!K196+OTCHET!K204</f>
        <v>0</v>
      </c>
      <c r="J42" s="843"/>
      <c r="K42" s="1686" t="s">
        <v>66</v>
      </c>
      <c r="L42" s="839"/>
      <c r="M42" s="840"/>
      <c r="N42" s="841"/>
      <c r="O42" s="841"/>
      <c r="P42" s="841"/>
      <c r="Q42" s="841"/>
      <c r="R42" s="841"/>
      <c r="S42" s="841"/>
      <c r="T42" s="842"/>
      <c r="U42" s="841"/>
      <c r="V42" s="841"/>
    </row>
    <row r="43" spans="1:22" ht="15.75">
      <c r="A43" s="675">
        <v>90</v>
      </c>
      <c r="B43" s="844" t="s">
        <v>2015</v>
      </c>
      <c r="C43" s="845" t="s">
        <v>714</v>
      </c>
      <c r="D43" s="844"/>
      <c r="E43" s="803">
        <f>+OTCHET!E205+OTCHET!E223+OTCHET!E274</f>
        <v>0</v>
      </c>
      <c r="F43" s="803">
        <f t="shared" si="1"/>
        <v>146567</v>
      </c>
      <c r="G43" s="804">
        <f>+OTCHET!I205+OTCHET!I223+OTCHET!I274</f>
        <v>146567</v>
      </c>
      <c r="H43" s="805">
        <f>+OTCHET!J205+OTCHET!J223+OTCHET!J274</f>
        <v>0</v>
      </c>
      <c r="I43" s="1398">
        <f>+OTCHET!K205+OTCHET!K223+OTCHET!K274</f>
        <v>0</v>
      </c>
      <c r="J43" s="843"/>
      <c r="K43" s="806" t="s">
        <v>714</v>
      </c>
      <c r="L43" s="839"/>
      <c r="M43" s="840"/>
      <c r="N43" s="841"/>
      <c r="O43" s="841"/>
      <c r="P43" s="841"/>
      <c r="Q43" s="841"/>
      <c r="R43" s="841"/>
      <c r="S43" s="841"/>
      <c r="T43" s="842"/>
      <c r="U43" s="841"/>
      <c r="V43" s="841"/>
    </row>
    <row r="44" spans="1:22" ht="15.75">
      <c r="A44" s="675">
        <v>95</v>
      </c>
      <c r="B44" s="846" t="s">
        <v>2016</v>
      </c>
      <c r="C44" s="764" t="s">
        <v>832</v>
      </c>
      <c r="D44" s="846"/>
      <c r="E44" s="765">
        <f>+OTCHET!E227+OTCHET!E233+OTCHET!E236+OTCHET!E237+OTCHET!E238+OTCHET!E239+OTCHET!E243</f>
        <v>0</v>
      </c>
      <c r="F44" s="765">
        <f t="shared" si="1"/>
        <v>0</v>
      </c>
      <c r="G44" s="766">
        <f>+OTCHET!I227+OTCHET!I233+OTCHET!I236+OTCHET!I237+OTCHET!I238+OTCHET!I239+OTCHET!I243</f>
        <v>0</v>
      </c>
      <c r="H44" s="767">
        <f>+OTCHET!J227+OTCHET!J233+OTCHET!J236+OTCHET!J237+OTCHET!J238+OTCHET!J239+OTCHET!J243</f>
        <v>0</v>
      </c>
      <c r="I44" s="1399">
        <f>+OTCHET!K227+OTCHET!K233+OTCHET!K236+OTCHET!K237+OTCHET!K238+OTCHET!K239+OTCHET!K243</f>
        <v>0</v>
      </c>
      <c r="J44" s="843"/>
      <c r="K44" s="768" t="s">
        <v>832</v>
      </c>
      <c r="L44" s="839"/>
      <c r="M44" s="840"/>
      <c r="N44" s="841"/>
      <c r="O44" s="841"/>
      <c r="P44" s="841"/>
      <c r="Q44" s="841"/>
      <c r="R44" s="841"/>
      <c r="S44" s="841"/>
      <c r="T44" s="842"/>
      <c r="U44" s="841"/>
      <c r="V44" s="841"/>
    </row>
    <row r="45" spans="1:22" ht="15.75">
      <c r="A45" s="675">
        <v>100</v>
      </c>
      <c r="B45" s="847" t="s">
        <v>69</v>
      </c>
      <c r="C45" s="847" t="s">
        <v>340</v>
      </c>
      <c r="D45" s="847"/>
      <c r="E45" s="848">
        <f>+OTCHET!E236+OTCHET!E237+OTCHET!E238+OTCHET!E239+OTCHET!E246+OTCHET!E247+OTCHET!E251</f>
        <v>0</v>
      </c>
      <c r="F45" s="848">
        <f t="shared" si="1"/>
        <v>0</v>
      </c>
      <c r="G45" s="849">
        <f>+OTCHET!I236+OTCHET!I237+OTCHET!I238+OTCHET!I239+OTCHET!I246+OTCHET!I247+OTCHET!I251</f>
        <v>0</v>
      </c>
      <c r="H45" s="850">
        <f>+OTCHET!J236+OTCHET!J237+OTCHET!J238+OTCHET!J239+OTCHET!J246+OTCHET!J247+OTCHET!J251</f>
        <v>0</v>
      </c>
      <c r="I45" s="276">
        <f>+OTCHET!K236+OTCHET!K237+OTCHET!K238+OTCHET!K239+OTCHET!K246+OTCHET!K247+OTCHET!K251</f>
        <v>0</v>
      </c>
      <c r="J45" s="843"/>
      <c r="K45" s="851" t="s">
        <v>340</v>
      </c>
      <c r="L45" s="839"/>
      <c r="M45" s="840"/>
      <c r="N45" s="841"/>
      <c r="O45" s="841"/>
      <c r="P45" s="841"/>
      <c r="Q45" s="841"/>
      <c r="R45" s="841"/>
      <c r="S45" s="841"/>
      <c r="T45" s="842"/>
      <c r="U45" s="841"/>
      <c r="V45" s="841"/>
    </row>
    <row r="46" spans="1:22" ht="15.75">
      <c r="A46" s="675">
        <v>105</v>
      </c>
      <c r="B46" s="852" t="s">
        <v>2017</v>
      </c>
      <c r="C46" s="853" t="s">
        <v>715</v>
      </c>
      <c r="D46" s="852"/>
      <c r="E46" s="854">
        <f>+OTCHET!E258+OTCHET!E259+OTCHET!E260+OTCHET!E261</f>
        <v>0</v>
      </c>
      <c r="F46" s="854">
        <f t="shared" si="1"/>
        <v>0</v>
      </c>
      <c r="G46" s="855">
        <f>+OTCHET!I258+OTCHET!I259+OTCHET!I260+OTCHET!I261</f>
        <v>0</v>
      </c>
      <c r="H46" s="856">
        <f>+OTCHET!J258+OTCHET!J259+OTCHET!J260+OTCHET!J261</f>
        <v>0</v>
      </c>
      <c r="I46" s="1400">
        <f>+OTCHET!K258+OTCHET!K259+OTCHET!K260+OTCHET!K261</f>
        <v>0</v>
      </c>
      <c r="J46" s="843"/>
      <c r="K46" s="857" t="s">
        <v>715</v>
      </c>
      <c r="L46" s="839"/>
      <c r="M46" s="840"/>
      <c r="N46" s="841"/>
      <c r="O46" s="841"/>
      <c r="P46" s="841"/>
      <c r="Q46" s="841"/>
      <c r="R46" s="841"/>
      <c r="S46" s="841"/>
      <c r="T46" s="842"/>
      <c r="U46" s="841"/>
      <c r="V46" s="841"/>
    </row>
    <row r="47" spans="1:22" ht="15.75">
      <c r="A47" s="675">
        <v>106</v>
      </c>
      <c r="B47" s="847" t="s">
        <v>539</v>
      </c>
      <c r="C47" s="847" t="s">
        <v>540</v>
      </c>
      <c r="D47" s="847"/>
      <c r="E47" s="848">
        <f>+OTCHET!E259</f>
        <v>0</v>
      </c>
      <c r="F47" s="848">
        <f t="shared" si="1"/>
        <v>0</v>
      </c>
      <c r="G47" s="849">
        <f>+OTCHET!I259</f>
        <v>0</v>
      </c>
      <c r="H47" s="850">
        <f>+OTCHET!J259</f>
        <v>0</v>
      </c>
      <c r="I47" s="276">
        <f>+OTCHET!K259</f>
        <v>0</v>
      </c>
      <c r="J47" s="843"/>
      <c r="K47" s="851" t="s">
        <v>540</v>
      </c>
      <c r="L47" s="839"/>
      <c r="M47" s="840"/>
      <c r="N47" s="841"/>
      <c r="O47" s="841"/>
      <c r="P47" s="841"/>
      <c r="Q47" s="841"/>
      <c r="R47" s="841"/>
      <c r="S47" s="841"/>
      <c r="T47" s="842"/>
      <c r="U47" s="841"/>
      <c r="V47" s="841"/>
    </row>
    <row r="48" spans="1:22" ht="15.75">
      <c r="A48" s="675">
        <v>107</v>
      </c>
      <c r="B48" s="845" t="s">
        <v>2018</v>
      </c>
      <c r="C48" s="845" t="s">
        <v>358</v>
      </c>
      <c r="D48" s="844"/>
      <c r="E48" s="803">
        <f>+OTCHET!E268+OTCHET!E272+OTCHET!E273</f>
        <v>0</v>
      </c>
      <c r="F48" s="803">
        <f t="shared" si="1"/>
        <v>0</v>
      </c>
      <c r="G48" s="804">
        <f>+OTCHET!I268+OTCHET!I272+OTCHET!I273</f>
        <v>0</v>
      </c>
      <c r="H48" s="805">
        <f>+OTCHET!J268+OTCHET!J272+OTCHET!J273</f>
        <v>0</v>
      </c>
      <c r="I48" s="1398">
        <f>+OTCHET!K268+OTCHET!K272+OTCHET!K273</f>
        <v>0</v>
      </c>
      <c r="J48" s="843"/>
      <c r="K48" s="806" t="s">
        <v>2025</v>
      </c>
      <c r="L48" s="839"/>
      <c r="M48" s="840"/>
      <c r="N48" s="841"/>
      <c r="O48" s="841"/>
      <c r="P48" s="841"/>
      <c r="Q48" s="841"/>
      <c r="R48" s="841"/>
      <c r="S48" s="841"/>
      <c r="T48" s="842"/>
      <c r="U48" s="841"/>
      <c r="V48" s="841"/>
    </row>
    <row r="49" spans="1:22" ht="15.75">
      <c r="A49" s="675">
        <v>108</v>
      </c>
      <c r="B49" s="845" t="s">
        <v>2019</v>
      </c>
      <c r="C49" s="845" t="s">
        <v>359</v>
      </c>
      <c r="D49" s="844"/>
      <c r="E49" s="803">
        <f>OTCHET!E278+OTCHET!E279+OTCHET!E287+OTCHET!E290</f>
        <v>0</v>
      </c>
      <c r="F49" s="803">
        <f t="shared" si="1"/>
        <v>4900</v>
      </c>
      <c r="G49" s="804">
        <f>OTCHET!I278+OTCHET!I279+OTCHET!I287+OTCHET!I290</f>
        <v>4900</v>
      </c>
      <c r="H49" s="805">
        <f>OTCHET!J278+OTCHET!J279+OTCHET!J287+OTCHET!J290</f>
        <v>0</v>
      </c>
      <c r="I49" s="1398">
        <f>OTCHET!K278+OTCHET!K279+OTCHET!K287+OTCHET!K290</f>
        <v>0</v>
      </c>
      <c r="J49" s="843"/>
      <c r="K49" s="806" t="s">
        <v>359</v>
      </c>
      <c r="L49" s="839"/>
      <c r="M49" s="840"/>
      <c r="N49" s="841"/>
      <c r="O49" s="841"/>
      <c r="P49" s="841"/>
      <c r="Q49" s="841"/>
      <c r="R49" s="841"/>
      <c r="S49" s="841"/>
      <c r="T49" s="842"/>
      <c r="U49" s="841"/>
      <c r="V49" s="841"/>
    </row>
    <row r="50" spans="1:22" ht="15.75">
      <c r="A50" s="675">
        <v>110</v>
      </c>
      <c r="B50" s="845" t="s">
        <v>2020</v>
      </c>
      <c r="C50" s="845" t="s">
        <v>360</v>
      </c>
      <c r="D50" s="845"/>
      <c r="E50" s="803">
        <f>+OTCHET!E291</f>
        <v>0</v>
      </c>
      <c r="F50" s="803">
        <f t="shared" si="1"/>
        <v>0</v>
      </c>
      <c r="G50" s="804">
        <f>+OTCHET!I291</f>
        <v>0</v>
      </c>
      <c r="H50" s="805">
        <f>+OTCHET!J291</f>
        <v>0</v>
      </c>
      <c r="I50" s="1398">
        <f>+OTCHET!K291</f>
        <v>0</v>
      </c>
      <c r="J50" s="843"/>
      <c r="K50" s="806" t="s">
        <v>360</v>
      </c>
      <c r="L50" s="839"/>
      <c r="M50" s="840"/>
      <c r="N50" s="841"/>
      <c r="O50" s="841"/>
      <c r="P50" s="841"/>
      <c r="Q50" s="841"/>
      <c r="R50" s="841"/>
      <c r="S50" s="841"/>
      <c r="T50" s="842"/>
      <c r="U50" s="841"/>
      <c r="V50" s="841"/>
    </row>
    <row r="51" spans="1:22" ht="15.75">
      <c r="B51" s="846" t="s">
        <v>2021</v>
      </c>
      <c r="C51" s="764"/>
      <c r="D51" s="764"/>
      <c r="E51" s="765">
        <f>+OTCHET!E275</f>
        <v>0</v>
      </c>
      <c r="F51" s="765">
        <f>+G51+H51+I51</f>
        <v>0</v>
      </c>
      <c r="G51" s="766">
        <f>+OTCHET!I275</f>
        <v>0</v>
      </c>
      <c r="H51" s="767">
        <f>+OTCHET!J275</f>
        <v>0</v>
      </c>
      <c r="I51" s="1399">
        <f>+OTCHET!K275</f>
        <v>0</v>
      </c>
      <c r="J51" s="843"/>
      <c r="K51" s="768" t="s">
        <v>2024</v>
      </c>
      <c r="L51" s="839"/>
      <c r="M51" s="840"/>
      <c r="N51" s="841"/>
      <c r="O51" s="841"/>
      <c r="P51" s="841"/>
      <c r="Q51" s="841"/>
      <c r="R51" s="841"/>
      <c r="S51" s="841"/>
      <c r="T51" s="842"/>
      <c r="U51" s="841"/>
      <c r="V51" s="841"/>
    </row>
    <row r="52" spans="1:22" ht="15.75">
      <c r="A52" s="675">
        <v>115</v>
      </c>
      <c r="B52" s="846" t="s">
        <v>2022</v>
      </c>
      <c r="C52" s="858" t="s">
        <v>451</v>
      </c>
      <c r="D52" s="764"/>
      <c r="E52" s="765">
        <f>+OTCHET!E296</f>
        <v>0</v>
      </c>
      <c r="F52" s="765">
        <f t="shared" si="1"/>
        <v>0</v>
      </c>
      <c r="G52" s="766">
        <f>+OTCHET!I296</f>
        <v>0</v>
      </c>
      <c r="H52" s="767">
        <f>+OTCHET!J296</f>
        <v>0</v>
      </c>
      <c r="I52" s="1399">
        <f>+OTCHET!K296</f>
        <v>0</v>
      </c>
      <c r="J52" s="843"/>
      <c r="K52" s="768" t="s">
        <v>451</v>
      </c>
      <c r="L52" s="839"/>
      <c r="M52" s="840"/>
      <c r="N52" s="841"/>
      <c r="O52" s="841"/>
      <c r="P52" s="841"/>
      <c r="Q52" s="841"/>
      <c r="R52" s="841"/>
      <c r="S52" s="841"/>
      <c r="T52" s="842"/>
      <c r="U52" s="841"/>
      <c r="V52" s="841"/>
    </row>
    <row r="53" spans="1:22" ht="15.75">
      <c r="A53" s="675">
        <v>120</v>
      </c>
      <c r="B53" s="859" t="s">
        <v>68</v>
      </c>
      <c r="C53" s="859" t="s">
        <v>341</v>
      </c>
      <c r="D53" s="860"/>
      <c r="E53" s="861">
        <f>OTCHET!E297</f>
        <v>0</v>
      </c>
      <c r="F53" s="861">
        <f t="shared" si="1"/>
        <v>0</v>
      </c>
      <c r="G53" s="862">
        <f>OTCHET!I297</f>
        <v>0</v>
      </c>
      <c r="H53" s="863">
        <f>OTCHET!J297</f>
        <v>0</v>
      </c>
      <c r="I53" s="1401">
        <f>OTCHET!K297</f>
        <v>0</v>
      </c>
      <c r="J53" s="843"/>
      <c r="K53" s="864" t="s">
        <v>341</v>
      </c>
      <c r="L53" s="839"/>
      <c r="M53" s="840"/>
      <c r="N53" s="841"/>
      <c r="O53" s="841"/>
      <c r="P53" s="841"/>
      <c r="Q53" s="841"/>
      <c r="R53" s="841"/>
      <c r="S53" s="841"/>
      <c r="T53" s="842"/>
      <c r="U53" s="841"/>
      <c r="V53" s="841"/>
    </row>
    <row r="54" spans="1:22" ht="15.75">
      <c r="A54" s="675">
        <v>125</v>
      </c>
      <c r="B54" s="865" t="s">
        <v>367</v>
      </c>
      <c r="C54" s="866" t="s">
        <v>368</v>
      </c>
      <c r="D54" s="867"/>
      <c r="E54" s="868">
        <f>OTCHET!E299</f>
        <v>0</v>
      </c>
      <c r="F54" s="868">
        <f t="shared" si="1"/>
        <v>0</v>
      </c>
      <c r="G54" s="869">
        <f>OTCHET!I299</f>
        <v>0</v>
      </c>
      <c r="H54" s="870">
        <f>OTCHET!J299</f>
        <v>0</v>
      </c>
      <c r="I54" s="1402">
        <f>OTCHET!K299</f>
        <v>0</v>
      </c>
      <c r="J54" s="843"/>
      <c r="K54" s="871" t="s">
        <v>368</v>
      </c>
      <c r="L54" s="839"/>
      <c r="M54" s="840"/>
      <c r="N54" s="841"/>
      <c r="O54" s="841"/>
      <c r="P54" s="841"/>
      <c r="Q54" s="841"/>
      <c r="R54" s="841"/>
      <c r="S54" s="841"/>
      <c r="T54" s="842"/>
      <c r="U54" s="841"/>
      <c r="V54" s="841"/>
    </row>
    <row r="55" spans="1:22" ht="15.75">
      <c r="A55" s="872">
        <v>127</v>
      </c>
      <c r="B55" s="809" t="s">
        <v>2023</v>
      </c>
      <c r="C55" s="809" t="s">
        <v>67</v>
      </c>
      <c r="D55" s="873"/>
      <c r="E55" s="874">
        <f>+OTCHET!E300</f>
        <v>0</v>
      </c>
      <c r="F55" s="874">
        <f t="shared" si="1"/>
        <v>0</v>
      </c>
      <c r="G55" s="875">
        <f>+OTCHET!I300</f>
        <v>0</v>
      </c>
      <c r="H55" s="876">
        <f>+OTCHET!J300</f>
        <v>0</v>
      </c>
      <c r="I55" s="876">
        <f>+OTCHET!K300</f>
        <v>0</v>
      </c>
      <c r="J55" s="824"/>
      <c r="K55" s="877" t="s">
        <v>67</v>
      </c>
      <c r="L55" s="839"/>
      <c r="M55" s="840"/>
      <c r="N55" s="841"/>
      <c r="O55" s="841"/>
      <c r="P55" s="841"/>
      <c r="Q55" s="841"/>
      <c r="R55" s="841"/>
      <c r="S55" s="841"/>
      <c r="T55" s="842"/>
      <c r="U55" s="841"/>
      <c r="V55" s="841"/>
    </row>
    <row r="56" spans="1:22" ht="19.5" thickBot="1">
      <c r="A56" s="675">
        <v>130</v>
      </c>
      <c r="B56" s="878" t="s">
        <v>175</v>
      </c>
      <c r="C56" s="879" t="s">
        <v>467</v>
      </c>
      <c r="D56" s="879"/>
      <c r="E56" s="880">
        <f>+E57+E58+E62</f>
        <v>0</v>
      </c>
      <c r="F56" s="880">
        <f>+F57+F58+F62</f>
        <v>1040341</v>
      </c>
      <c r="G56" s="881">
        <f>+G57+G58+G62</f>
        <v>1040341</v>
      </c>
      <c r="H56" s="882">
        <f>+H57+H58+H62</f>
        <v>0</v>
      </c>
      <c r="I56" s="883">
        <f>+I57+I58+I62</f>
        <v>0</v>
      </c>
      <c r="J56" s="761"/>
      <c r="K56" s="884" t="s">
        <v>467</v>
      </c>
      <c r="L56" s="839"/>
      <c r="M56" s="840"/>
      <c r="N56" s="841"/>
      <c r="O56" s="841"/>
      <c r="P56" s="841"/>
      <c r="Q56" s="841"/>
      <c r="R56" s="841"/>
      <c r="S56" s="841"/>
      <c r="T56" s="842"/>
      <c r="U56" s="841"/>
      <c r="V56" s="841"/>
    </row>
    <row r="57" spans="1:22" ht="16.5" thickTop="1">
      <c r="A57" s="675">
        <v>135</v>
      </c>
      <c r="B57" s="852" t="s">
        <v>176</v>
      </c>
      <c r="C57" s="853" t="s">
        <v>454</v>
      </c>
      <c r="D57" s="852"/>
      <c r="E57" s="885">
        <f>+OTCHET!E364+OTCHET!E378+OTCHET!E391</f>
        <v>0</v>
      </c>
      <c r="F57" s="885">
        <f t="shared" ref="F57:F63" si="2">+G57+H57+I57</f>
        <v>1035857</v>
      </c>
      <c r="G57" s="886">
        <f>+OTCHET!I364+OTCHET!I378+OTCHET!I391</f>
        <v>1035857</v>
      </c>
      <c r="H57" s="887">
        <f>+OTCHET!J364+OTCHET!J378+OTCHET!J391</f>
        <v>0</v>
      </c>
      <c r="I57" s="887">
        <f>+OTCHET!K364+OTCHET!K378+OTCHET!K391</f>
        <v>0</v>
      </c>
      <c r="J57" s="824"/>
      <c r="K57" s="888" t="s">
        <v>454</v>
      </c>
      <c r="L57" s="839"/>
      <c r="M57" s="840"/>
      <c r="N57" s="841"/>
      <c r="O57" s="841"/>
      <c r="P57" s="841"/>
      <c r="Q57" s="841"/>
      <c r="R57" s="841"/>
      <c r="S57" s="841"/>
      <c r="T57" s="842"/>
      <c r="U57" s="841"/>
      <c r="V57" s="841"/>
    </row>
    <row r="58" spans="1:22" ht="15.75">
      <c r="A58" s="675">
        <v>140</v>
      </c>
      <c r="B58" s="844" t="s">
        <v>50</v>
      </c>
      <c r="C58" s="845" t="s">
        <v>468</v>
      </c>
      <c r="D58" s="844"/>
      <c r="E58" s="889">
        <f>+OTCHET!E386+OTCHET!E394+OTCHET!E399+OTCHET!E402+OTCHET!E405+OTCHET!E408+OTCHET!E409+OTCHET!E412+OTCHET!E425+OTCHET!E426+OTCHET!E427+OTCHET!E428+OTCHET!E429</f>
        <v>0</v>
      </c>
      <c r="F58" s="889">
        <f t="shared" si="2"/>
        <v>4484</v>
      </c>
      <c r="G58" s="890">
        <f>+OTCHET!I386+OTCHET!I394+OTCHET!I399+OTCHET!I402+OTCHET!I405+OTCHET!I408+OTCHET!I409+OTCHET!I412+OTCHET!I425+OTCHET!I426+OTCHET!I427+OTCHET!I428+OTCHET!I429</f>
        <v>4484</v>
      </c>
      <c r="H58" s="891">
        <f>+OTCHET!J386+OTCHET!J394+OTCHET!J399+OTCHET!J402+OTCHET!J405+OTCHET!J408+OTCHET!J409+OTCHET!J412+OTCHET!J425+OTCHET!J426+OTCHET!J427+OTCHET!J428+OTCHET!J429</f>
        <v>0</v>
      </c>
      <c r="I58" s="891">
        <f>+OTCHET!K386+OTCHET!K394+OTCHET!K399+OTCHET!K402+OTCHET!K405+OTCHET!K408+OTCHET!K409+OTCHET!K412+OTCHET!K425+OTCHET!K426+OTCHET!K427+OTCHET!K428+OTCHET!K429</f>
        <v>0</v>
      </c>
      <c r="J58" s="824"/>
      <c r="K58" s="892" t="s">
        <v>468</v>
      </c>
      <c r="L58" s="839"/>
      <c r="M58" s="840"/>
      <c r="N58" s="841"/>
      <c r="O58" s="841"/>
      <c r="P58" s="841"/>
      <c r="Q58" s="841"/>
      <c r="R58" s="841"/>
      <c r="S58" s="841"/>
      <c r="T58" s="842"/>
      <c r="U58" s="841"/>
      <c r="V58" s="841"/>
    </row>
    <row r="59" spans="1:22" ht="15.75">
      <c r="A59" s="675">
        <v>145</v>
      </c>
      <c r="B59" s="764" t="s">
        <v>334</v>
      </c>
      <c r="C59" s="764" t="s">
        <v>342</v>
      </c>
      <c r="D59" s="846"/>
      <c r="E59" s="893">
        <f>+OTCHET!E425+OTCHET!E426+OTCHET!E427+OTCHET!E428+OTCHET!E429</f>
        <v>0</v>
      </c>
      <c r="F59" s="893">
        <f t="shared" si="2"/>
        <v>0</v>
      </c>
      <c r="G59" s="894">
        <f>+OTCHET!I425+OTCHET!I426+OTCHET!I427+OTCHET!I428+OTCHET!I429</f>
        <v>0</v>
      </c>
      <c r="H59" s="895">
        <f>+OTCHET!J425+OTCHET!J426+OTCHET!J427+OTCHET!J428+OTCHET!J429</f>
        <v>0</v>
      </c>
      <c r="I59" s="895">
        <f>+OTCHET!K425+OTCHET!K426+OTCHET!K427+OTCHET!K428+OTCHET!K429</f>
        <v>0</v>
      </c>
      <c r="J59" s="824"/>
      <c r="K59" s="896" t="s">
        <v>342</v>
      </c>
      <c r="L59" s="839"/>
      <c r="M59" s="840"/>
      <c r="N59" s="841"/>
      <c r="O59" s="841"/>
      <c r="P59" s="841"/>
      <c r="Q59" s="841"/>
      <c r="R59" s="841"/>
      <c r="S59" s="841"/>
      <c r="T59" s="842"/>
      <c r="U59" s="841"/>
      <c r="V59" s="841"/>
    </row>
    <row r="60" spans="1:22" ht="15.75">
      <c r="A60" s="675">
        <v>150</v>
      </c>
      <c r="B60" s="897" t="s">
        <v>456</v>
      </c>
      <c r="C60" s="897" t="s">
        <v>332</v>
      </c>
      <c r="D60" s="898"/>
      <c r="E60" s="899">
        <f>OTCHET!E408</f>
        <v>0</v>
      </c>
      <c r="F60" s="899">
        <f t="shared" si="2"/>
        <v>0</v>
      </c>
      <c r="G60" s="900">
        <f>OTCHET!I408</f>
        <v>0</v>
      </c>
      <c r="H60" s="901">
        <f>OTCHET!J408</f>
        <v>0</v>
      </c>
      <c r="I60" s="901">
        <f>OTCHET!K408</f>
        <v>0</v>
      </c>
      <c r="J60" s="824"/>
      <c r="K60" s="902" t="s">
        <v>332</v>
      </c>
      <c r="L60" s="839"/>
      <c r="M60" s="840"/>
      <c r="N60" s="841"/>
      <c r="O60" s="841"/>
      <c r="P60" s="841"/>
      <c r="Q60" s="841"/>
      <c r="R60" s="841"/>
      <c r="S60" s="841"/>
      <c r="T60" s="842"/>
      <c r="U60" s="841"/>
      <c r="V60" s="841"/>
    </row>
    <row r="61" spans="1:22" ht="15.75" hidden="1" customHeight="1">
      <c r="A61" s="675">
        <v>160</v>
      </c>
      <c r="B61" s="903"/>
      <c r="C61" s="904"/>
      <c r="D61" s="852"/>
      <c r="E61" s="885"/>
      <c r="F61" s="885">
        <f t="shared" si="2"/>
        <v>0</v>
      </c>
      <c r="G61" s="886"/>
      <c r="H61" s="887"/>
      <c r="I61" s="887"/>
      <c r="J61" s="824"/>
      <c r="K61" s="888"/>
      <c r="L61" s="839"/>
      <c r="M61" s="840"/>
      <c r="N61" s="841"/>
      <c r="O61" s="841"/>
      <c r="P61" s="841"/>
      <c r="Q61" s="841"/>
      <c r="R61" s="841"/>
      <c r="S61" s="841"/>
      <c r="T61" s="842"/>
      <c r="U61" s="841"/>
      <c r="V61" s="841"/>
    </row>
    <row r="62" spans="1:22" ht="15.75">
      <c r="A62" s="872">
        <v>162</v>
      </c>
      <c r="B62" s="905" t="s">
        <v>705</v>
      </c>
      <c r="C62" s="826" t="s">
        <v>834</v>
      </c>
      <c r="D62" s="905"/>
      <c r="E62" s="827">
        <f>OTCHET!E415</f>
        <v>0</v>
      </c>
      <c r="F62" s="827">
        <f t="shared" si="2"/>
        <v>0</v>
      </c>
      <c r="G62" s="828">
        <f>OTCHET!I415</f>
        <v>0</v>
      </c>
      <c r="H62" s="829">
        <f>OTCHET!J415</f>
        <v>0</v>
      </c>
      <c r="I62" s="829">
        <f>OTCHET!K415</f>
        <v>0</v>
      </c>
      <c r="J62" s="824"/>
      <c r="K62" s="830" t="s">
        <v>834</v>
      </c>
      <c r="L62" s="839"/>
      <c r="M62" s="840"/>
      <c r="N62" s="841"/>
      <c r="O62" s="841"/>
      <c r="P62" s="841"/>
      <c r="Q62" s="841"/>
      <c r="R62" s="841"/>
      <c r="S62" s="841"/>
      <c r="T62" s="842"/>
      <c r="U62" s="841"/>
      <c r="V62" s="841"/>
    </row>
    <row r="63" spans="1:22" ht="19.5" thickBot="1">
      <c r="A63" s="675">
        <v>165</v>
      </c>
      <c r="B63" s="906" t="s">
        <v>2039</v>
      </c>
      <c r="C63" s="907" t="s">
        <v>365</v>
      </c>
      <c r="D63" s="908"/>
      <c r="E63" s="909">
        <f>+OTCHET!E252</f>
        <v>0</v>
      </c>
      <c r="F63" s="909">
        <f t="shared" si="2"/>
        <v>0</v>
      </c>
      <c r="G63" s="910">
        <f>+OTCHET!I252</f>
        <v>0</v>
      </c>
      <c r="H63" s="911">
        <f>+OTCHET!J252</f>
        <v>0</v>
      </c>
      <c r="I63" s="911">
        <f>+OTCHET!K252</f>
        <v>0</v>
      </c>
      <c r="J63" s="824"/>
      <c r="K63" s="912" t="s">
        <v>365</v>
      </c>
      <c r="L63" s="839"/>
      <c r="M63" s="840"/>
      <c r="N63" s="841"/>
      <c r="O63" s="841"/>
      <c r="P63" s="841"/>
      <c r="Q63" s="841"/>
      <c r="R63" s="841"/>
      <c r="S63" s="841"/>
      <c r="T63" s="842"/>
      <c r="U63" s="841"/>
      <c r="V63" s="841"/>
    </row>
    <row r="64" spans="1:22" ht="19.5" thickTop="1">
      <c r="A64" s="675">
        <v>175</v>
      </c>
      <c r="B64" s="913" t="s">
        <v>963</v>
      </c>
      <c r="C64" s="914"/>
      <c r="D64" s="914"/>
      <c r="E64" s="915">
        <f>+E22-E38+E56-E63</f>
        <v>0</v>
      </c>
      <c r="F64" s="915">
        <f>+F22-F38+F56-F63</f>
        <v>-7723</v>
      </c>
      <c r="G64" s="916">
        <f>+G22-G38+G56-G63</f>
        <v>-7723</v>
      </c>
      <c r="H64" s="917">
        <f>+H22-H38+H56-H63</f>
        <v>0</v>
      </c>
      <c r="I64" s="917">
        <f>+I22-I38+I56-I63</f>
        <v>0</v>
      </c>
      <c r="J64" s="824"/>
      <c r="K64" s="918"/>
      <c r="L64" s="839"/>
      <c r="M64" s="840"/>
      <c r="N64" s="841"/>
      <c r="O64" s="841"/>
      <c r="P64" s="841"/>
      <c r="Q64" s="841"/>
      <c r="R64" s="841"/>
      <c r="S64" s="841"/>
      <c r="T64" s="842"/>
      <c r="U64" s="841"/>
      <c r="V64" s="841"/>
    </row>
    <row r="65" spans="1:22" ht="12" hidden="1" customHeight="1">
      <c r="A65" s="675">
        <v>180</v>
      </c>
      <c r="B65" s="919">
        <f>+IF(+SUM(E$65:I$65)=0,0,"Контрола: дефицит/излишък = финансиране с обратен знак (V. + VІ. = 0)")</f>
        <v>0</v>
      </c>
      <c r="C65" s="920"/>
      <c r="D65" s="920"/>
      <c r="E65" s="921">
        <f>+E$64+E$66</f>
        <v>0</v>
      </c>
      <c r="F65" s="921">
        <f>+F$64+F$66</f>
        <v>0</v>
      </c>
      <c r="G65" s="922">
        <f>+G$64+G$66</f>
        <v>0</v>
      </c>
      <c r="H65" s="922">
        <f>+H$64+H$66</f>
        <v>0</v>
      </c>
      <c r="I65" s="922">
        <f>+I$64+I$66</f>
        <v>0</v>
      </c>
      <c r="J65" s="824"/>
      <c r="K65" s="923"/>
      <c r="L65" s="839"/>
      <c r="M65" s="840"/>
      <c r="N65" s="841"/>
      <c r="O65" s="841"/>
      <c r="P65" s="841"/>
      <c r="Q65" s="841"/>
      <c r="R65" s="841"/>
      <c r="S65" s="841"/>
      <c r="T65" s="842"/>
      <c r="U65" s="841"/>
      <c r="V65" s="841"/>
    </row>
    <row r="66" spans="1:22" ht="19.5" thickBot="1">
      <c r="A66" s="675">
        <v>185</v>
      </c>
      <c r="B66" s="748" t="s">
        <v>366</v>
      </c>
      <c r="C66" s="924" t="s">
        <v>51</v>
      </c>
      <c r="D66" s="924"/>
      <c r="E66" s="925">
        <f>SUM(+E68+E76+E77+E84+E85+E86+E89+E90+E91+E92+E93+E94+E95)</f>
        <v>0</v>
      </c>
      <c r="F66" s="925">
        <f>SUM(+F68+F76+F77+F84+F85+F86+F89+F90+F91+F92+F93+F94+F95)</f>
        <v>7723</v>
      </c>
      <c r="G66" s="926">
        <f>SUM(+G68+G76+G77+G84+G85+G86+G89+G90+G91+G92+G93+G94+G95)</f>
        <v>7723</v>
      </c>
      <c r="H66" s="927">
        <f>SUM(+H68+H76+H77+H84+H85+H86+H89+H90+H91+H92+H93+H94+H95)</f>
        <v>0</v>
      </c>
      <c r="I66" s="927">
        <f>SUM(+I68+I76+I77+I84+I85+I86+I89+I90+I91+I92+I93+I94+I95)</f>
        <v>0</v>
      </c>
      <c r="J66" s="824"/>
      <c r="K66" s="928" t="s">
        <v>51</v>
      </c>
      <c r="L66" s="839"/>
      <c r="M66" s="840"/>
      <c r="N66" s="841"/>
      <c r="O66" s="841"/>
      <c r="P66" s="841"/>
      <c r="Q66" s="841"/>
      <c r="R66" s="841"/>
      <c r="S66" s="841"/>
      <c r="T66" s="842"/>
      <c r="U66" s="841"/>
      <c r="V66" s="841"/>
    </row>
    <row r="67" spans="1:22" ht="16.5" hidden="1" thickTop="1">
      <c r="A67" s="675">
        <v>190</v>
      </c>
      <c r="B67" s="929"/>
      <c r="C67" s="929"/>
      <c r="D67" s="929"/>
      <c r="E67" s="930"/>
      <c r="F67" s="931">
        <f>+G67+H67+I67</f>
        <v>0</v>
      </c>
      <c r="G67" s="932"/>
      <c r="H67" s="933"/>
      <c r="I67" s="933"/>
      <c r="J67" s="824"/>
      <c r="K67" s="934"/>
      <c r="L67" s="839"/>
      <c r="M67" s="840"/>
      <c r="N67" s="841"/>
      <c r="O67" s="841"/>
      <c r="P67" s="841"/>
      <c r="Q67" s="841"/>
      <c r="R67" s="841"/>
      <c r="S67" s="841"/>
      <c r="T67" s="842"/>
      <c r="U67" s="841"/>
      <c r="V67" s="841"/>
    </row>
    <row r="68" spans="1:22" ht="16.5" thickTop="1">
      <c r="A68" s="935">
        <v>195</v>
      </c>
      <c r="B68" s="846" t="s">
        <v>52</v>
      </c>
      <c r="C68" s="764" t="s">
        <v>70</v>
      </c>
      <c r="D68" s="846"/>
      <c r="E68" s="893">
        <f>SUM(E69:E75)</f>
        <v>0</v>
      </c>
      <c r="F68" s="893">
        <f>SUM(F69:F75)</f>
        <v>0</v>
      </c>
      <c r="G68" s="894">
        <f>SUM(G69:G75)</f>
        <v>0</v>
      </c>
      <c r="H68" s="895">
        <f>SUM(H69:H75)</f>
        <v>0</v>
      </c>
      <c r="I68" s="895">
        <f>SUM(I69:I75)</f>
        <v>0</v>
      </c>
      <c r="J68" s="824"/>
      <c r="K68" s="896" t="s">
        <v>70</v>
      </c>
      <c r="L68" s="936"/>
      <c r="M68" s="840"/>
      <c r="N68" s="841"/>
      <c r="O68" s="841"/>
      <c r="P68" s="841"/>
      <c r="Q68" s="841"/>
      <c r="R68" s="841"/>
      <c r="S68" s="841"/>
      <c r="T68" s="842"/>
      <c r="U68" s="841"/>
      <c r="V68" s="841"/>
    </row>
    <row r="69" spans="1:22" ht="15.75">
      <c r="A69" s="937">
        <v>200</v>
      </c>
      <c r="B69" s="938" t="s">
        <v>53</v>
      </c>
      <c r="C69" s="938" t="s">
        <v>343</v>
      </c>
      <c r="D69" s="938"/>
      <c r="E69" s="939">
        <f>+OTCHET!E485+OTCHET!E486+OTCHET!E489+OTCHET!E490+OTCHET!E493+OTCHET!E494+OTCHET!E498</f>
        <v>0</v>
      </c>
      <c r="F69" s="939">
        <f t="shared" ref="F69:F76" si="3">+G69+H69+I69</f>
        <v>0</v>
      </c>
      <c r="G69" s="940">
        <f>+OTCHET!I485+OTCHET!I486+OTCHET!I489+OTCHET!I490+OTCHET!I493+OTCHET!I494+OTCHET!I498</f>
        <v>0</v>
      </c>
      <c r="H69" s="941">
        <f>+OTCHET!J485+OTCHET!J486+OTCHET!J489+OTCHET!J490+OTCHET!J493+OTCHET!J494+OTCHET!J498</f>
        <v>0</v>
      </c>
      <c r="I69" s="941">
        <f>+OTCHET!K485+OTCHET!K486+OTCHET!K489+OTCHET!K490+OTCHET!K493+OTCHET!K494+OTCHET!K498</f>
        <v>0</v>
      </c>
      <c r="J69" s="824"/>
      <c r="K69" s="942" t="s">
        <v>343</v>
      </c>
      <c r="L69" s="943"/>
      <c r="M69" s="840"/>
      <c r="N69" s="841"/>
      <c r="O69" s="841"/>
      <c r="P69" s="841"/>
      <c r="Q69" s="841"/>
      <c r="R69" s="841"/>
      <c r="S69" s="841"/>
      <c r="T69" s="842"/>
      <c r="U69" s="841"/>
      <c r="V69" s="841"/>
    </row>
    <row r="70" spans="1:22" ht="15.75">
      <c r="A70" s="937">
        <v>205</v>
      </c>
      <c r="B70" s="944" t="s">
        <v>54</v>
      </c>
      <c r="C70" s="944" t="s">
        <v>344</v>
      </c>
      <c r="D70" s="944"/>
      <c r="E70" s="945">
        <f>+OTCHET!E487+OTCHET!E488+OTCHET!E491+OTCHET!E492+OTCHET!E495+OTCHET!E496+OTCHET!E497+OTCHET!E499</f>
        <v>0</v>
      </c>
      <c r="F70" s="945">
        <f t="shared" si="3"/>
        <v>0</v>
      </c>
      <c r="G70" s="946">
        <f>+OTCHET!I487+OTCHET!I488+OTCHET!I491+OTCHET!I492+OTCHET!I495+OTCHET!I496+OTCHET!I497+OTCHET!I499</f>
        <v>0</v>
      </c>
      <c r="H70" s="947">
        <f>+OTCHET!J487+OTCHET!J488+OTCHET!J491+OTCHET!J492+OTCHET!J495+OTCHET!J496+OTCHET!J497+OTCHET!J499</f>
        <v>0</v>
      </c>
      <c r="I70" s="947">
        <f>+OTCHET!K487+OTCHET!K488+OTCHET!K491+OTCHET!K492+OTCHET!K495+OTCHET!K496+OTCHET!K497+OTCHET!K499</f>
        <v>0</v>
      </c>
      <c r="J70" s="824"/>
      <c r="K70" s="948" t="s">
        <v>344</v>
      </c>
      <c r="L70" s="943"/>
      <c r="M70" s="840"/>
      <c r="N70" s="841"/>
      <c r="O70" s="841"/>
      <c r="P70" s="841"/>
      <c r="Q70" s="841"/>
      <c r="R70" s="841"/>
      <c r="S70" s="841"/>
      <c r="T70" s="842"/>
      <c r="U70" s="841"/>
      <c r="V70" s="841"/>
    </row>
    <row r="71" spans="1:22" ht="15.75">
      <c r="A71" s="937">
        <v>210</v>
      </c>
      <c r="B71" s="944" t="s">
        <v>55</v>
      </c>
      <c r="C71" s="944" t="s">
        <v>835</v>
      </c>
      <c r="D71" s="944"/>
      <c r="E71" s="945">
        <f>+OTCHET!E500</f>
        <v>0</v>
      </c>
      <c r="F71" s="945">
        <f t="shared" si="3"/>
        <v>0</v>
      </c>
      <c r="G71" s="946">
        <f>+OTCHET!I500</f>
        <v>0</v>
      </c>
      <c r="H71" s="947">
        <f>+OTCHET!J500</f>
        <v>0</v>
      </c>
      <c r="I71" s="947">
        <f>+OTCHET!K500</f>
        <v>0</v>
      </c>
      <c r="J71" s="824"/>
      <c r="K71" s="948" t="s">
        <v>835</v>
      </c>
      <c r="L71" s="943"/>
      <c r="M71" s="840"/>
      <c r="N71" s="841"/>
      <c r="O71" s="841"/>
      <c r="P71" s="841"/>
      <c r="Q71" s="841"/>
      <c r="R71" s="841"/>
      <c r="S71" s="841"/>
      <c r="T71" s="842"/>
      <c r="U71" s="841"/>
      <c r="V71" s="841"/>
    </row>
    <row r="72" spans="1:22" ht="15.75">
      <c r="A72" s="937">
        <v>215</v>
      </c>
      <c r="B72" s="944" t="s">
        <v>964</v>
      </c>
      <c r="C72" s="944" t="s">
        <v>836</v>
      </c>
      <c r="D72" s="944"/>
      <c r="E72" s="945">
        <f>+OTCHET!E505</f>
        <v>0</v>
      </c>
      <c r="F72" s="945">
        <f t="shared" si="3"/>
        <v>0</v>
      </c>
      <c r="G72" s="946">
        <f>+OTCHET!I505</f>
        <v>0</v>
      </c>
      <c r="H72" s="947">
        <f>+OTCHET!J505</f>
        <v>0</v>
      </c>
      <c r="I72" s="947">
        <f>+OTCHET!K505</f>
        <v>0</v>
      </c>
      <c r="J72" s="824"/>
      <c r="K72" s="948" t="s">
        <v>836</v>
      </c>
      <c r="L72" s="943"/>
      <c r="M72" s="840"/>
      <c r="N72" s="841"/>
      <c r="O72" s="841"/>
      <c r="P72" s="841"/>
      <c r="Q72" s="841"/>
      <c r="R72" s="841"/>
      <c r="S72" s="841"/>
      <c r="T72" s="842"/>
      <c r="U72" s="841"/>
      <c r="V72" s="841"/>
    </row>
    <row r="73" spans="1:22" ht="15.75">
      <c r="A73" s="937">
        <v>220</v>
      </c>
      <c r="B73" s="944" t="s">
        <v>56</v>
      </c>
      <c r="C73" s="944" t="s">
        <v>345</v>
      </c>
      <c r="D73" s="944"/>
      <c r="E73" s="945">
        <f>+OTCHET!E545</f>
        <v>0</v>
      </c>
      <c r="F73" s="945">
        <f t="shared" si="3"/>
        <v>0</v>
      </c>
      <c r="G73" s="946">
        <f>+OTCHET!I545</f>
        <v>0</v>
      </c>
      <c r="H73" s="947">
        <f>+OTCHET!J545</f>
        <v>0</v>
      </c>
      <c r="I73" s="947">
        <f>+OTCHET!K545</f>
        <v>0</v>
      </c>
      <c r="J73" s="824"/>
      <c r="K73" s="948" t="s">
        <v>345</v>
      </c>
      <c r="L73" s="943"/>
      <c r="M73" s="840"/>
      <c r="N73" s="841"/>
      <c r="O73" s="841"/>
      <c r="P73" s="841"/>
      <c r="Q73" s="841"/>
      <c r="R73" s="841"/>
      <c r="S73" s="841"/>
      <c r="T73" s="842"/>
      <c r="U73" s="841"/>
      <c r="V73" s="841"/>
    </row>
    <row r="74" spans="1:22" ht="15.75">
      <c r="A74" s="937">
        <v>230</v>
      </c>
      <c r="B74" s="949" t="s">
        <v>356</v>
      </c>
      <c r="C74" s="949" t="s">
        <v>346</v>
      </c>
      <c r="D74" s="949"/>
      <c r="E74" s="945">
        <f>+OTCHET!E584+OTCHET!E585</f>
        <v>0</v>
      </c>
      <c r="F74" s="945">
        <f t="shared" si="3"/>
        <v>0</v>
      </c>
      <c r="G74" s="946">
        <f>+OTCHET!I584+OTCHET!I585</f>
        <v>0</v>
      </c>
      <c r="H74" s="947">
        <f>+OTCHET!J584+OTCHET!J585</f>
        <v>0</v>
      </c>
      <c r="I74" s="947">
        <f>+OTCHET!K584+OTCHET!K585</f>
        <v>0</v>
      </c>
      <c r="J74" s="824"/>
      <c r="K74" s="948" t="s">
        <v>346</v>
      </c>
      <c r="L74" s="943"/>
      <c r="M74" s="840"/>
      <c r="N74" s="841"/>
      <c r="O74" s="841"/>
      <c r="P74" s="841"/>
      <c r="Q74" s="841"/>
      <c r="R74" s="841"/>
      <c r="S74" s="841"/>
      <c r="T74" s="842"/>
      <c r="U74" s="841"/>
      <c r="V74" s="841"/>
    </row>
    <row r="75" spans="1:22" ht="15.75">
      <c r="A75" s="937">
        <v>235</v>
      </c>
      <c r="B75" s="950" t="s">
        <v>58</v>
      </c>
      <c r="C75" s="950" t="s">
        <v>347</v>
      </c>
      <c r="D75" s="950"/>
      <c r="E75" s="951">
        <f>+OTCHET!E586+OTCHET!E587+OTCHET!E588</f>
        <v>0</v>
      </c>
      <c r="F75" s="951">
        <f t="shared" si="3"/>
        <v>0</v>
      </c>
      <c r="G75" s="952">
        <f>+OTCHET!I586+OTCHET!I587+OTCHET!I588</f>
        <v>0</v>
      </c>
      <c r="H75" s="953">
        <f>+OTCHET!J586+OTCHET!J587+OTCHET!J588</f>
        <v>0</v>
      </c>
      <c r="I75" s="953">
        <f>+OTCHET!K586+OTCHET!K587+OTCHET!K588</f>
        <v>0</v>
      </c>
      <c r="J75" s="824"/>
      <c r="K75" s="954" t="s">
        <v>347</v>
      </c>
      <c r="L75" s="943"/>
      <c r="M75" s="840"/>
      <c r="N75" s="841"/>
      <c r="O75" s="841"/>
      <c r="P75" s="841"/>
      <c r="Q75" s="841"/>
      <c r="R75" s="841"/>
      <c r="S75" s="841"/>
      <c r="T75" s="842"/>
      <c r="U75" s="841"/>
      <c r="V75" s="841"/>
    </row>
    <row r="76" spans="1:22" ht="15.75">
      <c r="A76" s="937">
        <v>240</v>
      </c>
      <c r="B76" s="852" t="s">
        <v>57</v>
      </c>
      <c r="C76" s="853" t="s">
        <v>837</v>
      </c>
      <c r="D76" s="852"/>
      <c r="E76" s="885">
        <f>OTCHET!E464</f>
        <v>0</v>
      </c>
      <c r="F76" s="885">
        <f t="shared" si="3"/>
        <v>0</v>
      </c>
      <c r="G76" s="886">
        <f>OTCHET!I464</f>
        <v>0</v>
      </c>
      <c r="H76" s="887">
        <f>OTCHET!J464</f>
        <v>0</v>
      </c>
      <c r="I76" s="887">
        <f>OTCHET!K464</f>
        <v>0</v>
      </c>
      <c r="J76" s="824"/>
      <c r="K76" s="888" t="s">
        <v>837</v>
      </c>
      <c r="L76" s="943"/>
      <c r="M76" s="840"/>
      <c r="N76" s="841"/>
      <c r="O76" s="841"/>
      <c r="P76" s="841"/>
      <c r="Q76" s="841"/>
      <c r="R76" s="841"/>
      <c r="S76" s="841"/>
      <c r="T76" s="842"/>
      <c r="U76" s="841"/>
      <c r="V76" s="841"/>
    </row>
    <row r="77" spans="1:22" ht="15.75">
      <c r="A77" s="937">
        <v>245</v>
      </c>
      <c r="B77" s="846" t="s">
        <v>59</v>
      </c>
      <c r="C77" s="764" t="s">
        <v>71</v>
      </c>
      <c r="D77" s="846"/>
      <c r="E77" s="893">
        <f>SUM(E78:E83)</f>
        <v>0</v>
      </c>
      <c r="F77" s="893">
        <f>SUM(F78:F83)</f>
        <v>0</v>
      </c>
      <c r="G77" s="894">
        <f>SUM(G78:G83)</f>
        <v>0</v>
      </c>
      <c r="H77" s="895">
        <f>SUM(H78:H83)</f>
        <v>0</v>
      </c>
      <c r="I77" s="895">
        <f>SUM(I78:I83)</f>
        <v>0</v>
      </c>
      <c r="J77" s="824"/>
      <c r="K77" s="896" t="s">
        <v>71</v>
      </c>
      <c r="L77" s="943"/>
      <c r="M77" s="840"/>
      <c r="N77" s="841"/>
      <c r="O77" s="841"/>
      <c r="P77" s="841"/>
      <c r="Q77" s="841"/>
      <c r="R77" s="841"/>
      <c r="S77" s="841"/>
      <c r="T77" s="842"/>
      <c r="U77" s="841"/>
      <c r="V77" s="841"/>
    </row>
    <row r="78" spans="1:22" ht="15.75">
      <c r="A78" s="937">
        <v>250</v>
      </c>
      <c r="B78" s="938" t="s">
        <v>60</v>
      </c>
      <c r="C78" s="938" t="s">
        <v>348</v>
      </c>
      <c r="D78" s="938"/>
      <c r="E78" s="939">
        <f>+OTCHET!E469+OTCHET!E472</f>
        <v>0</v>
      </c>
      <c r="F78" s="939">
        <f t="shared" ref="F78:F85" si="4">+G78+H78+I78</f>
        <v>0</v>
      </c>
      <c r="G78" s="940">
        <f>+OTCHET!I469+OTCHET!I472</f>
        <v>0</v>
      </c>
      <c r="H78" s="941">
        <f>+OTCHET!J469+OTCHET!J472</f>
        <v>0</v>
      </c>
      <c r="I78" s="941">
        <f>+OTCHET!K469+OTCHET!K472</f>
        <v>0</v>
      </c>
      <c r="J78" s="824"/>
      <c r="K78" s="942" t="s">
        <v>348</v>
      </c>
      <c r="L78" s="943"/>
      <c r="M78" s="840"/>
      <c r="N78" s="841"/>
      <c r="O78" s="841"/>
      <c r="P78" s="841"/>
      <c r="Q78" s="841"/>
      <c r="R78" s="841"/>
      <c r="S78" s="841"/>
      <c r="T78" s="842"/>
      <c r="U78" s="841"/>
      <c r="V78" s="841"/>
    </row>
    <row r="79" spans="1:22" ht="15.75">
      <c r="A79" s="937">
        <v>260</v>
      </c>
      <c r="B79" s="944" t="s">
        <v>61</v>
      </c>
      <c r="C79" s="944" t="s">
        <v>349</v>
      </c>
      <c r="D79" s="944"/>
      <c r="E79" s="945">
        <f>+OTCHET!E470+OTCHET!E473</f>
        <v>0</v>
      </c>
      <c r="F79" s="945">
        <f t="shared" si="4"/>
        <v>0</v>
      </c>
      <c r="G79" s="946">
        <f>+OTCHET!I470+OTCHET!I473</f>
        <v>0</v>
      </c>
      <c r="H79" s="947">
        <f>+OTCHET!J470+OTCHET!J473</f>
        <v>0</v>
      </c>
      <c r="I79" s="947">
        <f>+OTCHET!K470+OTCHET!K473</f>
        <v>0</v>
      </c>
      <c r="J79" s="824"/>
      <c r="K79" s="948" t="s">
        <v>349</v>
      </c>
      <c r="L79" s="943"/>
      <c r="M79" s="840"/>
      <c r="N79" s="841"/>
      <c r="O79" s="841"/>
      <c r="P79" s="841"/>
      <c r="Q79" s="841"/>
      <c r="R79" s="841"/>
      <c r="S79" s="841"/>
      <c r="T79" s="842"/>
      <c r="U79" s="841"/>
      <c r="V79" s="841"/>
    </row>
    <row r="80" spans="1:22" ht="15.75">
      <c r="A80" s="937">
        <v>265</v>
      </c>
      <c r="B80" s="944" t="s">
        <v>965</v>
      </c>
      <c r="C80" s="944" t="s">
        <v>350</v>
      </c>
      <c r="D80" s="944"/>
      <c r="E80" s="945">
        <f>OTCHET!E474</f>
        <v>0</v>
      </c>
      <c r="F80" s="945">
        <f t="shared" si="4"/>
        <v>0</v>
      </c>
      <c r="G80" s="946">
        <f>OTCHET!I474</f>
        <v>0</v>
      </c>
      <c r="H80" s="947">
        <f>OTCHET!J474</f>
        <v>0</v>
      </c>
      <c r="I80" s="947">
        <f>OTCHET!K474</f>
        <v>0</v>
      </c>
      <c r="J80" s="824"/>
      <c r="K80" s="948" t="s">
        <v>350</v>
      </c>
      <c r="L80" s="943"/>
      <c r="M80" s="840"/>
      <c r="N80" s="841"/>
      <c r="O80" s="841"/>
      <c r="P80" s="841"/>
      <c r="Q80" s="841"/>
      <c r="R80" s="841"/>
      <c r="S80" s="841"/>
      <c r="T80" s="842"/>
      <c r="U80" s="841"/>
      <c r="V80" s="841"/>
    </row>
    <row r="81" spans="1:22" ht="15.75" hidden="1" customHeight="1">
      <c r="A81" s="937"/>
      <c r="B81" s="944"/>
      <c r="C81" s="944"/>
      <c r="D81" s="944"/>
      <c r="E81" s="945"/>
      <c r="F81" s="945">
        <f t="shared" si="4"/>
        <v>0</v>
      </c>
      <c r="G81" s="946"/>
      <c r="H81" s="947"/>
      <c r="I81" s="947"/>
      <c r="J81" s="824"/>
      <c r="K81" s="948"/>
      <c r="L81" s="943"/>
      <c r="M81" s="840"/>
      <c r="N81" s="841"/>
      <c r="O81" s="841"/>
      <c r="P81" s="841"/>
      <c r="Q81" s="841"/>
      <c r="R81" s="841"/>
      <c r="S81" s="841"/>
      <c r="T81" s="842"/>
      <c r="U81" s="841"/>
      <c r="V81" s="841"/>
    </row>
    <row r="82" spans="1:22" ht="15.75">
      <c r="A82" s="937">
        <v>270</v>
      </c>
      <c r="B82" s="944" t="s">
        <v>453</v>
      </c>
      <c r="C82" s="944" t="s">
        <v>351</v>
      </c>
      <c r="D82" s="944"/>
      <c r="E82" s="945">
        <f>+OTCHET!E482</f>
        <v>0</v>
      </c>
      <c r="F82" s="945">
        <f t="shared" si="4"/>
        <v>0</v>
      </c>
      <c r="G82" s="946">
        <f>+OTCHET!I482</f>
        <v>0</v>
      </c>
      <c r="H82" s="947">
        <f>+OTCHET!J482</f>
        <v>0</v>
      </c>
      <c r="I82" s="947">
        <f>+OTCHET!K482</f>
        <v>0</v>
      </c>
      <c r="J82" s="824"/>
      <c r="K82" s="948" t="s">
        <v>351</v>
      </c>
      <c r="L82" s="943"/>
      <c r="M82" s="840"/>
      <c r="N82" s="841"/>
      <c r="O82" s="841"/>
      <c r="P82" s="841"/>
      <c r="Q82" s="841"/>
      <c r="R82" s="841"/>
      <c r="S82" s="841"/>
      <c r="T82" s="842"/>
      <c r="U82" s="841"/>
      <c r="V82" s="841"/>
    </row>
    <row r="83" spans="1:22" ht="15.75">
      <c r="A83" s="937">
        <v>275</v>
      </c>
      <c r="B83" s="955" t="s">
        <v>452</v>
      </c>
      <c r="C83" s="955" t="s">
        <v>352</v>
      </c>
      <c r="D83" s="955"/>
      <c r="E83" s="951">
        <f>+OTCHET!E483</f>
        <v>0</v>
      </c>
      <c r="F83" s="951">
        <f t="shared" si="4"/>
        <v>0</v>
      </c>
      <c r="G83" s="952">
        <f>+OTCHET!I483</f>
        <v>0</v>
      </c>
      <c r="H83" s="953">
        <f>+OTCHET!J483</f>
        <v>0</v>
      </c>
      <c r="I83" s="953">
        <f>+OTCHET!K483</f>
        <v>0</v>
      </c>
      <c r="J83" s="824"/>
      <c r="K83" s="954" t="s">
        <v>352</v>
      </c>
      <c r="L83" s="943"/>
      <c r="M83" s="840"/>
      <c r="N83" s="841"/>
      <c r="O83" s="841"/>
      <c r="P83" s="841"/>
      <c r="Q83" s="841"/>
      <c r="R83" s="841"/>
      <c r="S83" s="841"/>
      <c r="T83" s="842"/>
      <c r="U83" s="841"/>
      <c r="V83" s="841"/>
    </row>
    <row r="84" spans="1:22" ht="15.75">
      <c r="A84" s="937">
        <v>280</v>
      </c>
      <c r="B84" s="852" t="s">
        <v>966</v>
      </c>
      <c r="C84" s="853" t="s">
        <v>838</v>
      </c>
      <c r="D84" s="852"/>
      <c r="E84" s="885">
        <f>OTCHET!E538</f>
        <v>0</v>
      </c>
      <c r="F84" s="885">
        <f t="shared" si="4"/>
        <v>0</v>
      </c>
      <c r="G84" s="886">
        <f>OTCHET!I538</f>
        <v>0</v>
      </c>
      <c r="H84" s="887">
        <f>OTCHET!J538</f>
        <v>0</v>
      </c>
      <c r="I84" s="887">
        <f>OTCHET!K538</f>
        <v>0</v>
      </c>
      <c r="J84" s="824"/>
      <c r="K84" s="888" t="s">
        <v>838</v>
      </c>
      <c r="L84" s="943"/>
      <c r="M84" s="840"/>
      <c r="N84" s="841"/>
      <c r="O84" s="841"/>
      <c r="P84" s="841"/>
      <c r="Q84" s="841"/>
      <c r="R84" s="841"/>
      <c r="S84" s="841"/>
      <c r="T84" s="842"/>
      <c r="U84" s="841"/>
      <c r="V84" s="841"/>
    </row>
    <row r="85" spans="1:22" ht="15.75">
      <c r="A85" s="937">
        <v>285</v>
      </c>
      <c r="B85" s="844" t="s">
        <v>967</v>
      </c>
      <c r="C85" s="845" t="s">
        <v>839</v>
      </c>
      <c r="D85" s="844"/>
      <c r="E85" s="889">
        <f>OTCHET!E539</f>
        <v>0</v>
      </c>
      <c r="F85" s="889">
        <f t="shared" si="4"/>
        <v>0</v>
      </c>
      <c r="G85" s="890">
        <f>OTCHET!I539</f>
        <v>0</v>
      </c>
      <c r="H85" s="891">
        <f>OTCHET!J539</f>
        <v>0</v>
      </c>
      <c r="I85" s="891">
        <f>OTCHET!K539</f>
        <v>0</v>
      </c>
      <c r="J85" s="824"/>
      <c r="K85" s="892" t="s">
        <v>839</v>
      </c>
      <c r="L85" s="943"/>
      <c r="M85" s="840"/>
      <c r="N85" s="841"/>
      <c r="O85" s="841"/>
      <c r="P85" s="841"/>
      <c r="Q85" s="841"/>
      <c r="R85" s="841"/>
      <c r="S85" s="841"/>
      <c r="T85" s="842"/>
      <c r="U85" s="841"/>
      <c r="V85" s="841"/>
    </row>
    <row r="86" spans="1:22" ht="15.75">
      <c r="A86" s="937">
        <v>290</v>
      </c>
      <c r="B86" s="846" t="s">
        <v>845</v>
      </c>
      <c r="C86" s="764" t="s">
        <v>309</v>
      </c>
      <c r="D86" s="846"/>
      <c r="E86" s="893">
        <f>+E87+E88</f>
        <v>0</v>
      </c>
      <c r="F86" s="893">
        <f>+F87+F88</f>
        <v>7723</v>
      </c>
      <c r="G86" s="894">
        <f>+G87+G88</f>
        <v>7723</v>
      </c>
      <c r="H86" s="895">
        <f>+H87+H88</f>
        <v>0</v>
      </c>
      <c r="I86" s="895">
        <f>+I87+I88</f>
        <v>0</v>
      </c>
      <c r="J86" s="824"/>
      <c r="K86" s="896" t="s">
        <v>309</v>
      </c>
      <c r="L86" s="943"/>
      <c r="M86" s="840"/>
      <c r="N86" s="841"/>
      <c r="O86" s="841"/>
      <c r="P86" s="841"/>
      <c r="Q86" s="841"/>
      <c r="R86" s="841"/>
      <c r="S86" s="841"/>
      <c r="T86" s="842"/>
      <c r="U86" s="841"/>
      <c r="V86" s="841"/>
    </row>
    <row r="87" spans="1:22" ht="15.75">
      <c r="A87" s="937">
        <v>295</v>
      </c>
      <c r="B87" s="938" t="s">
        <v>844</v>
      </c>
      <c r="C87" s="938" t="s">
        <v>310</v>
      </c>
      <c r="D87" s="956"/>
      <c r="E87" s="939">
        <f>+OTCHET!E506+OTCHET!E515+OTCHET!E519+OTCHET!E546</f>
        <v>0</v>
      </c>
      <c r="F87" s="939">
        <f t="shared" ref="F87:F96" si="5">+G87+H87+I87</f>
        <v>0</v>
      </c>
      <c r="G87" s="940">
        <f>+OTCHET!I506+OTCHET!I515+OTCHET!I519+OTCHET!I546</f>
        <v>0</v>
      </c>
      <c r="H87" s="941">
        <f>+OTCHET!J506+OTCHET!J515+OTCHET!J519+OTCHET!J546</f>
        <v>0</v>
      </c>
      <c r="I87" s="941">
        <f>+OTCHET!K506+OTCHET!K515+OTCHET!K519+OTCHET!K546</f>
        <v>0</v>
      </c>
      <c r="J87" s="824"/>
      <c r="K87" s="942" t="s">
        <v>310</v>
      </c>
      <c r="L87" s="943"/>
      <c r="M87" s="840"/>
      <c r="N87" s="841"/>
      <c r="O87" s="841"/>
      <c r="P87" s="841"/>
      <c r="Q87" s="841"/>
      <c r="R87" s="841"/>
      <c r="S87" s="841"/>
      <c r="T87" s="842"/>
      <c r="U87" s="841"/>
      <c r="V87" s="841"/>
    </row>
    <row r="88" spans="1:22" ht="15.75">
      <c r="A88" s="937">
        <v>300</v>
      </c>
      <c r="B88" s="955" t="s">
        <v>63</v>
      </c>
      <c r="C88" s="955" t="s">
        <v>177</v>
      </c>
      <c r="D88" s="957"/>
      <c r="E88" s="951">
        <f>+OTCHET!E524+OTCHET!E527+OTCHET!E547</f>
        <v>0</v>
      </c>
      <c r="F88" s="951">
        <f t="shared" si="5"/>
        <v>7723</v>
      </c>
      <c r="G88" s="952">
        <f>+OTCHET!I524+OTCHET!I527+OTCHET!I547</f>
        <v>7723</v>
      </c>
      <c r="H88" s="953">
        <f>+OTCHET!J524+OTCHET!J527+OTCHET!J547</f>
        <v>0</v>
      </c>
      <c r="I88" s="953">
        <f>+OTCHET!K524+OTCHET!K527+OTCHET!K547</f>
        <v>0</v>
      </c>
      <c r="J88" s="824"/>
      <c r="K88" s="954" t="s">
        <v>177</v>
      </c>
      <c r="L88" s="943"/>
      <c r="M88" s="840"/>
      <c r="N88" s="841"/>
      <c r="O88" s="841"/>
      <c r="P88" s="841"/>
      <c r="Q88" s="841"/>
      <c r="R88" s="841"/>
      <c r="S88" s="841"/>
      <c r="T88" s="842"/>
      <c r="U88" s="841"/>
      <c r="V88" s="841"/>
    </row>
    <row r="89" spans="1:22" ht="15.75">
      <c r="A89" s="937">
        <v>310</v>
      </c>
      <c r="B89" s="852" t="s">
        <v>706</v>
      </c>
      <c r="C89" s="853" t="s">
        <v>840</v>
      </c>
      <c r="D89" s="958"/>
      <c r="E89" s="885">
        <f>OTCHET!E534</f>
        <v>0</v>
      </c>
      <c r="F89" s="885">
        <f t="shared" si="5"/>
        <v>0</v>
      </c>
      <c r="G89" s="886">
        <f>OTCHET!I534</f>
        <v>0</v>
      </c>
      <c r="H89" s="887">
        <f>OTCHET!J534</f>
        <v>0</v>
      </c>
      <c r="I89" s="887">
        <f>OTCHET!K534</f>
        <v>0</v>
      </c>
      <c r="J89" s="824"/>
      <c r="K89" s="888" t="s">
        <v>840</v>
      </c>
      <c r="L89" s="943"/>
      <c r="M89" s="840"/>
      <c r="N89" s="841"/>
      <c r="O89" s="841"/>
      <c r="P89" s="841"/>
      <c r="Q89" s="841"/>
      <c r="R89" s="841"/>
      <c r="S89" s="841"/>
      <c r="T89" s="842"/>
      <c r="U89" s="841"/>
      <c r="V89" s="841"/>
    </row>
    <row r="90" spans="1:22" ht="15.75">
      <c r="A90" s="937">
        <v>320</v>
      </c>
      <c r="B90" s="844" t="s">
        <v>843</v>
      </c>
      <c r="C90" s="845" t="s">
        <v>353</v>
      </c>
      <c r="D90" s="844"/>
      <c r="E90" s="889">
        <f>+OTCHET!E570+OTCHET!E571+OTCHET!E572+OTCHET!E573+OTCHET!E574+OTCHET!E575</f>
        <v>0</v>
      </c>
      <c r="F90" s="889">
        <f t="shared" si="5"/>
        <v>0</v>
      </c>
      <c r="G90" s="890">
        <f>+OTCHET!I570+OTCHET!I571+OTCHET!I572+OTCHET!I573+OTCHET!I574+OTCHET!I575</f>
        <v>0</v>
      </c>
      <c r="H90" s="891">
        <f>+OTCHET!J570+OTCHET!J571+OTCHET!J572+OTCHET!J573+OTCHET!J574+OTCHET!J575</f>
        <v>0</v>
      </c>
      <c r="I90" s="891">
        <f>+OTCHET!K570+OTCHET!K571+OTCHET!K572+OTCHET!K573+OTCHET!K574+OTCHET!K575</f>
        <v>0</v>
      </c>
      <c r="J90" s="824"/>
      <c r="K90" s="892" t="s">
        <v>353</v>
      </c>
      <c r="L90" s="943"/>
      <c r="M90" s="840"/>
      <c r="N90" s="841"/>
      <c r="O90" s="841"/>
      <c r="P90" s="841"/>
      <c r="Q90" s="841"/>
      <c r="R90" s="841"/>
      <c r="S90" s="841"/>
      <c r="T90" s="842"/>
      <c r="U90" s="841"/>
      <c r="V90" s="841"/>
    </row>
    <row r="91" spans="1:22" ht="15.75">
      <c r="A91" s="937">
        <v>330</v>
      </c>
      <c r="B91" s="959" t="s">
        <v>842</v>
      </c>
      <c r="C91" s="959" t="s">
        <v>354</v>
      </c>
      <c r="D91" s="959"/>
      <c r="E91" s="803">
        <f>+OTCHET!E576+OTCHET!E577+OTCHET!E578+OTCHET!E579+OTCHET!E580+OTCHET!E581+OTCHET!E582</f>
        <v>0</v>
      </c>
      <c r="F91" s="803">
        <f t="shared" si="5"/>
        <v>0</v>
      </c>
      <c r="G91" s="804">
        <f>+OTCHET!I576+OTCHET!I577+OTCHET!I578+OTCHET!I579+OTCHET!I580+OTCHET!I581+OTCHET!I582</f>
        <v>0</v>
      </c>
      <c r="H91" s="805">
        <f>+OTCHET!J576+OTCHET!J577+OTCHET!J578+OTCHET!J579+OTCHET!J580+OTCHET!J581+OTCHET!J582</f>
        <v>0</v>
      </c>
      <c r="I91" s="805">
        <f>+OTCHET!K576+OTCHET!K577+OTCHET!K578+OTCHET!K579+OTCHET!K580+OTCHET!K581+OTCHET!K582</f>
        <v>0</v>
      </c>
      <c r="J91" s="824"/>
      <c r="K91" s="806" t="s">
        <v>354</v>
      </c>
      <c r="L91" s="943"/>
      <c r="M91" s="840"/>
      <c r="N91" s="841"/>
      <c r="O91" s="841"/>
      <c r="P91" s="841"/>
      <c r="Q91" s="841"/>
      <c r="R91" s="841"/>
      <c r="S91" s="841"/>
      <c r="T91" s="842"/>
      <c r="U91" s="841"/>
      <c r="V91" s="841"/>
    </row>
    <row r="92" spans="1:22" ht="15.75">
      <c r="A92" s="937">
        <v>335</v>
      </c>
      <c r="B92" s="845" t="s">
        <v>841</v>
      </c>
      <c r="C92" s="845" t="s">
        <v>355</v>
      </c>
      <c r="D92" s="959"/>
      <c r="E92" s="803">
        <f>+OTCHET!E583</f>
        <v>0</v>
      </c>
      <c r="F92" s="803">
        <f t="shared" si="5"/>
        <v>0</v>
      </c>
      <c r="G92" s="804">
        <f>+OTCHET!I583</f>
        <v>0</v>
      </c>
      <c r="H92" s="805">
        <f>+OTCHET!J583</f>
        <v>0</v>
      </c>
      <c r="I92" s="805">
        <f>+OTCHET!K583</f>
        <v>0</v>
      </c>
      <c r="J92" s="824"/>
      <c r="K92" s="806" t="s">
        <v>355</v>
      </c>
      <c r="L92" s="943"/>
      <c r="M92" s="840"/>
      <c r="N92" s="841"/>
      <c r="O92" s="841"/>
      <c r="P92" s="841"/>
      <c r="Q92" s="841"/>
      <c r="R92" s="841"/>
      <c r="S92" s="841"/>
      <c r="T92" s="842"/>
      <c r="U92" s="841"/>
      <c r="V92" s="841"/>
    </row>
    <row r="93" spans="1:22" ht="15.75">
      <c r="A93" s="937">
        <v>340</v>
      </c>
      <c r="B93" s="845" t="s">
        <v>361</v>
      </c>
      <c r="C93" s="845" t="s">
        <v>362</v>
      </c>
      <c r="D93" s="845"/>
      <c r="E93" s="803">
        <f>+OTCHET!E590+OTCHET!E591</f>
        <v>0</v>
      </c>
      <c r="F93" s="803">
        <f t="shared" si="5"/>
        <v>0</v>
      </c>
      <c r="G93" s="804">
        <f>+OTCHET!I590+OTCHET!I591</f>
        <v>0</v>
      </c>
      <c r="H93" s="805">
        <f>+OTCHET!J590+OTCHET!J591</f>
        <v>0</v>
      </c>
      <c r="I93" s="805">
        <f>+OTCHET!K590+OTCHET!K591</f>
        <v>0</v>
      </c>
      <c r="J93" s="824"/>
      <c r="K93" s="806" t="s">
        <v>362</v>
      </c>
      <c r="L93" s="943"/>
      <c r="M93" s="840"/>
      <c r="N93" s="841"/>
      <c r="O93" s="841"/>
      <c r="P93" s="841"/>
      <c r="Q93" s="841"/>
      <c r="R93" s="841"/>
      <c r="S93" s="841"/>
      <c r="T93" s="842"/>
      <c r="U93" s="841"/>
      <c r="V93" s="841"/>
    </row>
    <row r="94" spans="1:22" ht="15.75">
      <c r="A94" s="937">
        <v>345</v>
      </c>
      <c r="B94" s="845" t="s">
        <v>363</v>
      </c>
      <c r="C94" s="959" t="s">
        <v>364</v>
      </c>
      <c r="D94" s="845"/>
      <c r="E94" s="803">
        <f>+OTCHET!E592+OTCHET!E593</f>
        <v>0</v>
      </c>
      <c r="F94" s="803">
        <f t="shared" si="5"/>
        <v>0</v>
      </c>
      <c r="G94" s="804">
        <f>+OTCHET!I592+OTCHET!I593</f>
        <v>0</v>
      </c>
      <c r="H94" s="805">
        <f>+OTCHET!J592+OTCHET!J593</f>
        <v>0</v>
      </c>
      <c r="I94" s="805">
        <f>+OTCHET!K592+OTCHET!K593</f>
        <v>0</v>
      </c>
      <c r="J94" s="824"/>
      <c r="K94" s="806" t="s">
        <v>364</v>
      </c>
      <c r="L94" s="943"/>
      <c r="M94" s="840"/>
      <c r="N94" s="841"/>
      <c r="O94" s="841"/>
      <c r="P94" s="841"/>
      <c r="Q94" s="841"/>
      <c r="R94" s="841"/>
      <c r="S94" s="841"/>
      <c r="T94" s="842"/>
      <c r="U94" s="841"/>
      <c r="V94" s="841"/>
    </row>
    <row r="95" spans="1:22" ht="15.75">
      <c r="A95" s="937">
        <v>350</v>
      </c>
      <c r="B95" s="764" t="s">
        <v>968</v>
      </c>
      <c r="C95" s="764" t="s">
        <v>64</v>
      </c>
      <c r="D95" s="764"/>
      <c r="E95" s="765">
        <f>OTCHET!E594</f>
        <v>0</v>
      </c>
      <c r="F95" s="765">
        <f t="shared" si="5"/>
        <v>0</v>
      </c>
      <c r="G95" s="766">
        <f>OTCHET!I594</f>
        <v>0</v>
      </c>
      <c r="H95" s="767">
        <f>OTCHET!J594</f>
        <v>0</v>
      </c>
      <c r="I95" s="767">
        <f>OTCHET!K594</f>
        <v>0</v>
      </c>
      <c r="J95" s="824"/>
      <c r="K95" s="768" t="s">
        <v>64</v>
      </c>
      <c r="L95" s="943"/>
      <c r="M95" s="840"/>
      <c r="N95" s="841"/>
      <c r="O95" s="841"/>
      <c r="P95" s="841"/>
      <c r="Q95" s="841"/>
      <c r="R95" s="841"/>
      <c r="S95" s="841"/>
      <c r="T95" s="842"/>
      <c r="U95" s="841"/>
      <c r="V95" s="841"/>
    </row>
    <row r="96" spans="1:22" ht="16.5" thickBot="1">
      <c r="A96" s="960">
        <v>355</v>
      </c>
      <c r="B96" s="961" t="s">
        <v>542</v>
      </c>
      <c r="C96" s="961" t="s">
        <v>541</v>
      </c>
      <c r="D96" s="961"/>
      <c r="E96" s="1469">
        <f>+OTCHET!E597</f>
        <v>0</v>
      </c>
      <c r="F96" s="1469">
        <f t="shared" si="5"/>
        <v>0</v>
      </c>
      <c r="G96" s="1470">
        <f>+OTCHET!I597</f>
        <v>0</v>
      </c>
      <c r="H96" s="1471">
        <f>+OTCHET!J597</f>
        <v>0</v>
      </c>
      <c r="I96" s="1472">
        <f>+OTCHET!K597</f>
        <v>0</v>
      </c>
      <c r="J96" s="824"/>
      <c r="K96" s="1473" t="s">
        <v>541</v>
      </c>
      <c r="L96" s="962"/>
      <c r="M96" s="840"/>
      <c r="N96" s="841"/>
      <c r="O96" s="841"/>
      <c r="P96" s="841"/>
      <c r="Q96" s="841"/>
      <c r="R96" s="841"/>
      <c r="S96" s="841"/>
      <c r="T96" s="842"/>
      <c r="U96" s="841"/>
      <c r="V96" s="841"/>
    </row>
    <row r="97" spans="2:22" ht="16.5" hidden="1" thickBot="1">
      <c r="B97" s="963" t="s">
        <v>821</v>
      </c>
      <c r="C97" s="963"/>
      <c r="D97" s="963"/>
      <c r="E97" s="964"/>
      <c r="F97" s="964"/>
      <c r="G97" s="964"/>
      <c r="H97" s="964"/>
      <c r="I97" s="964"/>
      <c r="J97" s="965"/>
      <c r="K97" s="963"/>
      <c r="L97" s="839"/>
      <c r="M97" s="840"/>
      <c r="N97" s="841"/>
      <c r="O97" s="841"/>
      <c r="P97" s="841"/>
      <c r="Q97" s="841"/>
      <c r="R97" s="841"/>
      <c r="S97" s="841"/>
      <c r="T97" s="842"/>
      <c r="U97" s="841"/>
      <c r="V97" s="841"/>
    </row>
    <row r="98" spans="2:22" ht="16.5" hidden="1" thickBot="1">
      <c r="B98" s="963" t="s">
        <v>822</v>
      </c>
      <c r="C98" s="963"/>
      <c r="D98" s="963"/>
      <c r="E98" s="964"/>
      <c r="F98" s="964"/>
      <c r="G98" s="964"/>
      <c r="H98" s="964"/>
      <c r="I98" s="964"/>
      <c r="J98" s="965"/>
      <c r="K98" s="963"/>
      <c r="L98" s="839"/>
      <c r="M98" s="840"/>
      <c r="N98" s="841"/>
      <c r="O98" s="841"/>
      <c r="P98" s="841"/>
      <c r="Q98" s="841"/>
      <c r="R98" s="841"/>
      <c r="S98" s="841"/>
      <c r="T98" s="842"/>
      <c r="U98" s="841"/>
      <c r="V98" s="841"/>
    </row>
    <row r="99" spans="2:22" ht="16.5" hidden="1" thickBot="1">
      <c r="B99" s="963" t="s">
        <v>823</v>
      </c>
      <c r="C99" s="963"/>
      <c r="D99" s="963"/>
      <c r="E99" s="964"/>
      <c r="F99" s="964"/>
      <c r="G99" s="964"/>
      <c r="H99" s="964"/>
      <c r="I99" s="964"/>
      <c r="J99" s="965"/>
      <c r="K99" s="963"/>
      <c r="L99" s="839"/>
      <c r="M99" s="840"/>
      <c r="N99" s="841"/>
      <c r="O99" s="841"/>
      <c r="P99" s="841"/>
      <c r="Q99" s="841"/>
      <c r="R99" s="841"/>
      <c r="S99" s="841"/>
      <c r="T99" s="842"/>
      <c r="U99" s="841"/>
      <c r="V99" s="841"/>
    </row>
    <row r="100" spans="2:22" ht="16.5" hidden="1" thickBot="1">
      <c r="B100" s="966" t="s">
        <v>824</v>
      </c>
      <c r="C100" s="967"/>
      <c r="D100" s="967"/>
      <c r="E100" s="964"/>
      <c r="F100" s="964"/>
      <c r="G100" s="964"/>
      <c r="H100" s="964"/>
      <c r="I100" s="964"/>
      <c r="J100" s="965"/>
      <c r="K100" s="967"/>
      <c r="L100" s="839"/>
      <c r="M100" s="840"/>
      <c r="N100" s="841"/>
      <c r="O100" s="841"/>
      <c r="P100" s="841"/>
      <c r="Q100" s="841"/>
      <c r="R100" s="841"/>
      <c r="S100" s="841"/>
      <c r="T100" s="842"/>
      <c r="U100" s="841"/>
      <c r="V100" s="841"/>
    </row>
    <row r="101" spans="2:22" ht="16.5" hidden="1" thickBot="1">
      <c r="B101" s="966"/>
      <c r="C101" s="966"/>
      <c r="D101" s="966"/>
      <c r="E101" s="968"/>
      <c r="F101" s="968"/>
      <c r="G101" s="968"/>
      <c r="H101" s="968"/>
      <c r="I101" s="968"/>
      <c r="J101" s="843"/>
      <c r="K101" s="966"/>
      <c r="L101" s="763"/>
      <c r="M101" s="840"/>
      <c r="N101" s="841"/>
      <c r="O101" s="841"/>
      <c r="P101" s="841"/>
      <c r="Q101" s="841"/>
      <c r="R101" s="841"/>
      <c r="S101" s="841"/>
      <c r="T101" s="842"/>
      <c r="U101" s="841"/>
      <c r="V101" s="841"/>
    </row>
    <row r="102" spans="2:22" ht="16.5" hidden="1" thickBot="1">
      <c r="B102" s="967" t="s">
        <v>825</v>
      </c>
      <c r="C102" s="967"/>
      <c r="D102" s="967"/>
      <c r="E102" s="968"/>
      <c r="F102" s="968"/>
      <c r="G102" s="968"/>
      <c r="H102" s="968"/>
      <c r="I102" s="968"/>
      <c r="J102" s="843"/>
      <c r="K102" s="967"/>
      <c r="L102" s="763"/>
      <c r="M102" s="840"/>
      <c r="N102" s="841"/>
      <c r="O102" s="841"/>
      <c r="P102" s="841"/>
      <c r="Q102" s="841"/>
      <c r="R102" s="841"/>
      <c r="S102" s="841"/>
      <c r="T102" s="842"/>
      <c r="U102" s="841"/>
      <c r="V102" s="841"/>
    </row>
    <row r="103" spans="2:22" ht="16.5" hidden="1" thickBot="1">
      <c r="B103" s="963" t="s">
        <v>823</v>
      </c>
      <c r="C103" s="963"/>
      <c r="D103" s="963"/>
      <c r="E103" s="968"/>
      <c r="F103" s="969"/>
      <c r="G103" s="969"/>
      <c r="H103" s="969"/>
      <c r="I103" s="968"/>
      <c r="J103" s="843"/>
      <c r="K103" s="963"/>
      <c r="L103" s="763"/>
      <c r="M103" s="840"/>
      <c r="N103" s="841"/>
      <c r="O103" s="841"/>
      <c r="P103" s="841"/>
      <c r="Q103" s="841"/>
      <c r="R103" s="841"/>
      <c r="S103" s="841"/>
      <c r="T103" s="842"/>
      <c r="U103" s="841"/>
      <c r="V103" s="841"/>
    </row>
    <row r="104" spans="2:22" ht="16.5" hidden="1" thickBot="1">
      <c r="B104" s="966" t="s">
        <v>824</v>
      </c>
      <c r="C104" s="966"/>
      <c r="D104" s="966"/>
      <c r="E104" s="968"/>
      <c r="F104" s="969"/>
      <c r="G104" s="969"/>
      <c r="H104" s="969"/>
      <c r="I104" s="968"/>
      <c r="J104" s="970"/>
      <c r="K104" s="966"/>
      <c r="L104" s="763"/>
      <c r="M104" s="840"/>
      <c r="N104" s="841"/>
      <c r="O104" s="841"/>
      <c r="P104" s="841"/>
      <c r="Q104" s="841"/>
      <c r="R104" s="841"/>
      <c r="S104" s="841"/>
      <c r="T104" s="842"/>
      <c r="U104" s="841"/>
      <c r="V104" s="841"/>
    </row>
    <row r="105" spans="2:22" ht="16.5" thickTop="1">
      <c r="B105" s="549">
        <f>+IF(+SUM(E$65:I$65)=0,0,"Контрола: дефицит/излишък = финансиране с обратен знак (V. + VІ. = 0)")</f>
        <v>0</v>
      </c>
      <c r="C105" s="971"/>
      <c r="D105" s="971"/>
      <c r="E105" s="972">
        <f>+E$64+E$66</f>
        <v>0</v>
      </c>
      <c r="F105" s="972">
        <f>+F$64+F$66</f>
        <v>0</v>
      </c>
      <c r="G105" s="973">
        <f>+G$64+G$66</f>
        <v>0</v>
      </c>
      <c r="H105" s="973">
        <f>+H$64+H$66</f>
        <v>0</v>
      </c>
      <c r="I105" s="973">
        <f>+I$64+I$66</f>
        <v>0</v>
      </c>
      <c r="J105" s="970"/>
      <c r="K105" s="974"/>
      <c r="L105" s="763"/>
      <c r="M105" s="840"/>
      <c r="N105" s="841"/>
      <c r="O105" s="841"/>
      <c r="P105" s="841"/>
      <c r="Q105" s="841"/>
      <c r="R105" s="841"/>
      <c r="S105" s="841"/>
      <c r="T105" s="842"/>
      <c r="U105" s="841"/>
      <c r="V105" s="841"/>
    </row>
    <row r="106" spans="2:22" ht="15.75">
      <c r="B106" s="974"/>
      <c r="C106" s="974"/>
      <c r="D106" s="974"/>
      <c r="E106" s="975"/>
      <c r="F106" s="976"/>
      <c r="G106" s="977"/>
      <c r="H106" s="677"/>
      <c r="I106" s="677"/>
      <c r="J106" s="970"/>
      <c r="K106" s="974"/>
      <c r="L106" s="763"/>
      <c r="M106" s="831"/>
      <c r="N106" s="841"/>
      <c r="O106" s="841"/>
      <c r="P106" s="841"/>
      <c r="Q106" s="841"/>
      <c r="R106" s="841"/>
      <c r="S106" s="841"/>
      <c r="T106" s="842"/>
      <c r="U106" s="841"/>
      <c r="V106" s="841"/>
    </row>
    <row r="107" spans="2:22" ht="19.5" customHeight="1">
      <c r="B107" s="1358">
        <f>+OTCHET!H608</f>
        <v>0</v>
      </c>
      <c r="C107" s="974"/>
      <c r="D107" s="974"/>
      <c r="E107" s="657"/>
      <c r="F107" s="691"/>
      <c r="G107" s="1363">
        <f>+OTCHET!E608</f>
        <v>0</v>
      </c>
      <c r="H107" s="1363">
        <f>+OTCHET!F608</f>
        <v>0</v>
      </c>
      <c r="I107" s="978"/>
      <c r="J107" s="970"/>
      <c r="K107" s="974"/>
      <c r="L107" s="763"/>
      <c r="M107" s="831"/>
      <c r="N107" s="841"/>
      <c r="O107" s="841"/>
      <c r="P107" s="841"/>
      <c r="Q107" s="841"/>
      <c r="R107" s="841"/>
      <c r="S107" s="841"/>
      <c r="T107" s="842"/>
      <c r="U107" s="841"/>
      <c r="V107" s="841"/>
    </row>
    <row r="108" spans="2:22" ht="15.75">
      <c r="B108" s="979" t="s">
        <v>969</v>
      </c>
      <c r="C108" s="980"/>
      <c r="D108" s="980"/>
      <c r="E108" s="981"/>
      <c r="F108" s="981"/>
      <c r="G108" s="1914" t="s">
        <v>970</v>
      </c>
      <c r="H108" s="1914"/>
      <c r="I108" s="982"/>
      <c r="J108" s="970"/>
      <c r="K108" s="974"/>
      <c r="L108" s="763"/>
      <c r="M108" s="831"/>
      <c r="N108" s="841"/>
      <c r="O108" s="841"/>
      <c r="P108" s="841"/>
      <c r="Q108" s="841"/>
      <c r="R108" s="841"/>
      <c r="S108" s="841"/>
      <c r="T108" s="842"/>
      <c r="U108" s="841"/>
      <c r="V108" s="841"/>
    </row>
    <row r="109" spans="2:22" ht="17.25" customHeight="1">
      <c r="B109" s="983" t="s">
        <v>863</v>
      </c>
      <c r="C109" s="675"/>
      <c r="D109" s="675"/>
      <c r="E109" s="984"/>
      <c r="F109" s="985"/>
      <c r="G109" s="677"/>
      <c r="H109" s="677"/>
      <c r="I109" s="677"/>
      <c r="J109" s="970"/>
      <c r="K109" s="974"/>
      <c r="L109" s="763"/>
      <c r="M109" s="831"/>
      <c r="N109" s="841"/>
      <c r="O109" s="841"/>
      <c r="P109" s="841"/>
      <c r="Q109" s="841"/>
      <c r="R109" s="841"/>
      <c r="S109" s="841"/>
      <c r="T109" s="842"/>
      <c r="U109" s="841"/>
      <c r="V109" s="841"/>
    </row>
    <row r="110" spans="2:22" ht="17.25" customHeight="1">
      <c r="B110" s="978"/>
      <c r="C110" s="986"/>
      <c r="D110" s="974"/>
      <c r="E110" s="1907" t="str">
        <f>+OTCHET!D606</f>
        <v>АЛЕКСИ ВАСИЛЕВ АЛЕКСОВ</v>
      </c>
      <c r="F110" s="1907"/>
      <c r="G110" s="677"/>
      <c r="H110" s="677"/>
      <c r="I110" s="677"/>
      <c r="J110" s="970"/>
      <c r="K110" s="974"/>
      <c r="L110" s="763"/>
      <c r="M110" s="831"/>
      <c r="N110" s="841"/>
      <c r="O110" s="841"/>
      <c r="P110" s="841"/>
      <c r="Q110" s="841"/>
      <c r="R110" s="841"/>
      <c r="S110" s="841"/>
      <c r="T110" s="842"/>
      <c r="U110" s="841"/>
      <c r="V110" s="841"/>
    </row>
    <row r="111" spans="2:22" ht="19.5" customHeight="1">
      <c r="B111" s="675"/>
      <c r="E111" s="677"/>
      <c r="F111" s="677"/>
      <c r="G111" s="677"/>
      <c r="H111" s="677"/>
      <c r="I111" s="677"/>
      <c r="J111" s="970"/>
      <c r="K111" s="986"/>
      <c r="L111" s="763"/>
      <c r="M111" s="831"/>
      <c r="N111" s="841"/>
      <c r="O111" s="841"/>
      <c r="P111" s="841"/>
      <c r="Q111" s="841"/>
      <c r="R111" s="841"/>
      <c r="S111" s="841"/>
      <c r="T111" s="842"/>
      <c r="U111" s="841"/>
      <c r="V111" s="841"/>
    </row>
    <row r="112" spans="2:22" ht="15.75" customHeight="1">
      <c r="E112" s="677"/>
      <c r="F112" s="677"/>
      <c r="G112" s="677"/>
      <c r="H112" s="677"/>
      <c r="I112" s="677"/>
      <c r="J112" s="970"/>
      <c r="K112" s="974"/>
      <c r="L112" s="763"/>
      <c r="M112" s="831"/>
      <c r="N112" s="841"/>
      <c r="O112" s="841"/>
      <c r="P112" s="841"/>
      <c r="Q112" s="841"/>
      <c r="R112" s="841"/>
      <c r="S112" s="841"/>
      <c r="T112" s="842"/>
      <c r="U112" s="841"/>
      <c r="V112" s="841"/>
    </row>
    <row r="113" spans="1:22" ht="15.75">
      <c r="B113" s="987" t="s">
        <v>861</v>
      </c>
      <c r="C113" s="974"/>
      <c r="D113" s="974"/>
      <c r="E113" s="985"/>
      <c r="F113" s="985"/>
      <c r="G113" s="677"/>
      <c r="H113" s="987" t="s">
        <v>864</v>
      </c>
      <c r="I113" s="988"/>
      <c r="J113" s="970"/>
      <c r="K113" s="989"/>
      <c r="L113" s="763"/>
      <c r="M113" s="831"/>
      <c r="N113" s="841"/>
      <c r="O113" s="841"/>
      <c r="P113" s="841"/>
      <c r="Q113" s="841"/>
      <c r="R113" s="841"/>
      <c r="S113" s="841"/>
      <c r="T113" s="842"/>
      <c r="U113" s="841"/>
      <c r="V113" s="841"/>
    </row>
    <row r="114" spans="1:22" ht="18" customHeight="1">
      <c r="E114" s="1907" t="str">
        <f>+OTCHET!G603</f>
        <v>АЛЕКСИ ВАСИЛЕВ АЛЕКСОВ</v>
      </c>
      <c r="F114" s="1907"/>
      <c r="G114" s="990"/>
      <c r="H114" s="677"/>
      <c r="I114" s="1362" t="str">
        <f>+OTCHET!G606</f>
        <v>ДИАНА СИМЕОНОВА ГЕОРГИЕВА</v>
      </c>
      <c r="J114" s="970"/>
      <c r="K114" s="991"/>
      <c r="L114" s="763"/>
      <c r="M114" s="831"/>
      <c r="N114" s="841"/>
      <c r="O114" s="841"/>
      <c r="P114" s="841"/>
      <c r="Q114" s="841"/>
      <c r="R114" s="841"/>
      <c r="S114" s="841"/>
      <c r="T114" s="842"/>
      <c r="U114" s="841"/>
      <c r="V114" s="841"/>
    </row>
    <row r="115" spans="1:22">
      <c r="A115" s="992"/>
      <c r="B115" s="992"/>
      <c r="C115" s="992"/>
      <c r="D115" s="992"/>
      <c r="E115" s="993"/>
      <c r="F115" s="993"/>
      <c r="G115" s="993"/>
      <c r="H115" s="993"/>
      <c r="I115" s="993"/>
      <c r="J115" s="992"/>
      <c r="K115" s="992"/>
      <c r="L115" s="992"/>
      <c r="M115" s="992"/>
    </row>
    <row r="116" spans="1:22">
      <c r="A116" s="992"/>
      <c r="B116" s="992"/>
      <c r="C116" s="992"/>
      <c r="D116" s="992"/>
      <c r="E116" s="993"/>
      <c r="F116" s="993"/>
      <c r="G116" s="993"/>
      <c r="H116" s="993"/>
      <c r="I116" s="993"/>
      <c r="J116" s="992"/>
      <c r="K116" s="992"/>
      <c r="L116" s="992"/>
      <c r="M116" s="992"/>
    </row>
    <row r="117" spans="1:22">
      <c r="A117" s="992"/>
      <c r="B117" s="992"/>
      <c r="C117" s="992"/>
      <c r="D117" s="992"/>
      <c r="E117" s="993"/>
      <c r="F117" s="993"/>
      <c r="G117" s="993"/>
      <c r="H117" s="993"/>
      <c r="I117" s="993"/>
      <c r="J117" s="992"/>
      <c r="K117" s="992"/>
      <c r="L117" s="992"/>
      <c r="M117" s="992"/>
    </row>
    <row r="118" spans="1:22">
      <c r="A118" s="992"/>
      <c r="B118" s="992"/>
      <c r="C118" s="992"/>
      <c r="D118" s="992"/>
      <c r="E118" s="993"/>
      <c r="F118" s="993"/>
      <c r="G118" s="993"/>
      <c r="H118" s="993"/>
      <c r="I118" s="993"/>
      <c r="J118" s="992"/>
      <c r="K118" s="992"/>
      <c r="L118" s="992"/>
      <c r="M118" s="992"/>
    </row>
    <row r="119" spans="1:22">
      <c r="A119" s="992"/>
      <c r="B119" s="992"/>
      <c r="C119" s="992"/>
      <c r="D119" s="992"/>
      <c r="E119" s="993"/>
      <c r="F119" s="993"/>
      <c r="G119" s="993"/>
      <c r="H119" s="993"/>
      <c r="I119" s="993"/>
      <c r="J119" s="992"/>
      <c r="K119" s="992"/>
      <c r="L119" s="992"/>
      <c r="M119" s="992"/>
    </row>
    <row r="120" spans="1:22">
      <c r="A120" s="992"/>
      <c r="B120" s="992"/>
      <c r="C120" s="992"/>
      <c r="D120" s="992"/>
      <c r="E120" s="993"/>
      <c r="F120" s="993"/>
      <c r="G120" s="993"/>
      <c r="H120" s="993"/>
      <c r="I120" s="993"/>
      <c r="J120" s="992"/>
      <c r="K120" s="992"/>
      <c r="L120" s="992"/>
      <c r="M120" s="992"/>
    </row>
    <row r="121" spans="1:22">
      <c r="A121" s="992"/>
      <c r="B121" s="992"/>
      <c r="C121" s="992"/>
      <c r="D121" s="992"/>
      <c r="E121" s="993"/>
      <c r="F121" s="993"/>
      <c r="G121" s="993"/>
      <c r="H121" s="993"/>
      <c r="I121" s="993"/>
      <c r="J121" s="992"/>
      <c r="K121" s="992"/>
      <c r="L121" s="992"/>
      <c r="M121" s="992"/>
    </row>
    <row r="122" spans="1:22">
      <c r="A122" s="992"/>
      <c r="B122" s="992"/>
      <c r="C122" s="992"/>
      <c r="D122" s="992"/>
      <c r="E122" s="993"/>
      <c r="F122" s="993"/>
      <c r="G122" s="993"/>
      <c r="H122" s="993"/>
      <c r="I122" s="993"/>
      <c r="J122" s="992"/>
      <c r="K122" s="992"/>
      <c r="L122" s="992"/>
      <c r="M122" s="992"/>
    </row>
    <row r="123" spans="1:22">
      <c r="A123" s="992"/>
      <c r="B123" s="992"/>
      <c r="C123" s="992"/>
      <c r="D123" s="992"/>
      <c r="E123" s="993"/>
      <c r="F123" s="993"/>
      <c r="G123" s="993"/>
      <c r="H123" s="993"/>
      <c r="I123" s="993"/>
      <c r="J123" s="992"/>
      <c r="K123" s="992"/>
      <c r="L123" s="992"/>
      <c r="M123" s="992"/>
    </row>
    <row r="124" spans="1:22">
      <c r="A124" s="992"/>
      <c r="B124" s="992"/>
      <c r="C124" s="992"/>
      <c r="D124" s="992"/>
      <c r="E124" s="993"/>
      <c r="F124" s="993"/>
      <c r="G124" s="993"/>
      <c r="H124" s="993"/>
      <c r="I124" s="993"/>
      <c r="J124" s="992"/>
      <c r="K124" s="992"/>
      <c r="L124" s="992"/>
      <c r="M124" s="992"/>
    </row>
    <row r="125" spans="1:22">
      <c r="A125" s="992"/>
      <c r="B125" s="992"/>
      <c r="C125" s="992"/>
      <c r="D125" s="992"/>
      <c r="E125" s="993"/>
      <c r="F125" s="993"/>
      <c r="G125" s="993"/>
      <c r="H125" s="993"/>
      <c r="I125" s="993"/>
      <c r="J125" s="992"/>
      <c r="K125" s="992"/>
      <c r="L125" s="992"/>
      <c r="M125" s="992"/>
    </row>
    <row r="126" spans="1:22">
      <c r="A126" s="992"/>
      <c r="B126" s="992"/>
      <c r="C126" s="992"/>
      <c r="D126" s="992"/>
      <c r="E126" s="993"/>
      <c r="F126" s="993"/>
      <c r="G126" s="993"/>
      <c r="H126" s="993"/>
      <c r="I126" s="993"/>
      <c r="J126" s="992"/>
      <c r="K126" s="992"/>
      <c r="L126" s="992"/>
      <c r="M126" s="992"/>
    </row>
    <row r="127" spans="1:22">
      <c r="A127" s="992"/>
      <c r="B127" s="992"/>
      <c r="C127" s="992"/>
      <c r="D127" s="992"/>
      <c r="E127" s="993"/>
      <c r="F127" s="993"/>
      <c r="G127" s="993"/>
      <c r="H127" s="993"/>
      <c r="I127" s="993"/>
      <c r="J127" s="992"/>
      <c r="K127" s="992"/>
      <c r="L127" s="992"/>
      <c r="M127" s="992"/>
    </row>
    <row r="128" spans="1:22">
      <c r="A128" s="992"/>
      <c r="B128" s="992"/>
      <c r="C128" s="992"/>
      <c r="D128" s="992"/>
      <c r="E128" s="993"/>
      <c r="F128" s="993"/>
      <c r="G128" s="993"/>
      <c r="H128" s="993"/>
      <c r="I128" s="993"/>
      <c r="J128" s="992"/>
      <c r="K128" s="992"/>
      <c r="L128" s="992"/>
      <c r="M128" s="992"/>
    </row>
    <row r="129" spans="1:13">
      <c r="A129" s="992"/>
      <c r="B129" s="992"/>
      <c r="C129" s="992"/>
      <c r="D129" s="992"/>
      <c r="E129" s="993"/>
      <c r="F129" s="993"/>
      <c r="G129" s="993"/>
      <c r="H129" s="993"/>
      <c r="I129" s="993"/>
      <c r="J129" s="992"/>
      <c r="K129" s="992"/>
      <c r="L129" s="992"/>
      <c r="M129" s="992"/>
    </row>
    <row r="130" spans="1:13">
      <c r="A130" s="992"/>
      <c r="B130" s="992"/>
      <c r="C130" s="992"/>
      <c r="D130" s="992"/>
      <c r="E130" s="993"/>
      <c r="F130" s="993"/>
      <c r="G130" s="993"/>
      <c r="H130" s="993"/>
      <c r="I130" s="993"/>
      <c r="J130" s="992"/>
      <c r="K130" s="992"/>
      <c r="L130" s="992"/>
      <c r="M130" s="992"/>
    </row>
    <row r="131" spans="1:13">
      <c r="A131" s="992"/>
      <c r="B131" s="992"/>
      <c r="C131" s="992"/>
      <c r="D131" s="992"/>
      <c r="E131" s="993"/>
      <c r="F131" s="993"/>
      <c r="G131" s="993"/>
      <c r="H131" s="993"/>
      <c r="I131" s="993"/>
      <c r="J131" s="992"/>
      <c r="K131" s="992"/>
      <c r="L131" s="992"/>
      <c r="M131" s="992"/>
    </row>
    <row r="132" spans="1:13">
      <c r="A132" s="992"/>
      <c r="B132" s="992"/>
      <c r="C132" s="992"/>
      <c r="D132" s="992"/>
      <c r="E132" s="993"/>
      <c r="F132" s="993"/>
      <c r="G132" s="993"/>
      <c r="H132" s="993"/>
      <c r="I132" s="993"/>
      <c r="J132" s="992"/>
      <c r="K132" s="992"/>
      <c r="L132" s="992"/>
      <c r="M132" s="992"/>
    </row>
    <row r="133" spans="1:13">
      <c r="A133" s="992"/>
      <c r="B133" s="992"/>
      <c r="C133" s="992"/>
      <c r="D133" s="992"/>
      <c r="E133" s="993"/>
      <c r="F133" s="993"/>
      <c r="G133" s="993"/>
      <c r="H133" s="993"/>
      <c r="I133" s="993"/>
      <c r="J133" s="992"/>
      <c r="K133" s="992"/>
      <c r="L133" s="992"/>
      <c r="M133" s="992"/>
    </row>
    <row r="134" spans="1:13">
      <c r="A134" s="992"/>
      <c r="B134" s="992"/>
      <c r="C134" s="992"/>
      <c r="D134" s="992"/>
      <c r="E134" s="993"/>
      <c r="F134" s="993"/>
      <c r="G134" s="993"/>
      <c r="H134" s="993"/>
      <c r="I134" s="993"/>
      <c r="J134" s="992"/>
      <c r="K134" s="992"/>
      <c r="L134" s="992"/>
      <c r="M134" s="992"/>
    </row>
    <row r="135" spans="1:13">
      <c r="A135" s="992"/>
      <c r="B135" s="992"/>
      <c r="C135" s="992"/>
      <c r="D135" s="992"/>
      <c r="E135" s="993"/>
      <c r="F135" s="993"/>
      <c r="G135" s="993"/>
      <c r="H135" s="993"/>
      <c r="I135" s="993"/>
      <c r="J135" s="992"/>
      <c r="K135" s="992"/>
      <c r="L135" s="992"/>
      <c r="M135" s="992"/>
    </row>
    <row r="136" spans="1:13">
      <c r="A136" s="992"/>
      <c r="B136" s="992"/>
      <c r="C136" s="992"/>
      <c r="D136" s="992"/>
      <c r="E136" s="993"/>
      <c r="F136" s="993"/>
      <c r="G136" s="993"/>
      <c r="H136" s="993"/>
      <c r="I136" s="993"/>
      <c r="J136" s="992"/>
      <c r="K136" s="992"/>
      <c r="L136" s="992"/>
      <c r="M136" s="992"/>
    </row>
    <row r="137" spans="1:13">
      <c r="A137" s="992"/>
      <c r="B137" s="992"/>
      <c r="C137" s="992"/>
      <c r="D137" s="992"/>
      <c r="E137" s="993"/>
      <c r="F137" s="993"/>
      <c r="G137" s="993"/>
      <c r="H137" s="993"/>
      <c r="I137" s="993"/>
      <c r="J137" s="992"/>
      <c r="K137" s="992"/>
      <c r="L137" s="992"/>
      <c r="M137" s="992"/>
    </row>
    <row r="138" spans="1:13">
      <c r="A138" s="992"/>
      <c r="B138" s="992"/>
      <c r="C138" s="992"/>
      <c r="D138" s="992"/>
      <c r="E138" s="993"/>
      <c r="F138" s="993"/>
      <c r="G138" s="993"/>
      <c r="H138" s="993"/>
      <c r="I138" s="993"/>
      <c r="J138" s="992"/>
      <c r="K138" s="992"/>
      <c r="L138" s="992"/>
      <c r="M138" s="992"/>
    </row>
    <row r="139" spans="1:13">
      <c r="A139" s="992"/>
      <c r="B139" s="992"/>
      <c r="C139" s="992"/>
      <c r="D139" s="992"/>
      <c r="E139" s="993"/>
      <c r="F139" s="993"/>
      <c r="G139" s="993"/>
      <c r="H139" s="993"/>
      <c r="I139" s="993"/>
      <c r="J139" s="992"/>
      <c r="K139" s="992"/>
      <c r="L139" s="992"/>
      <c r="M139" s="992"/>
    </row>
    <row r="140" spans="1:13">
      <c r="A140" s="992"/>
      <c r="B140" s="992"/>
      <c r="C140" s="992"/>
      <c r="D140" s="992"/>
      <c r="E140" s="993"/>
      <c r="F140" s="993"/>
      <c r="G140" s="993"/>
      <c r="H140" s="993"/>
      <c r="I140" s="993"/>
      <c r="J140" s="992"/>
      <c r="K140" s="992"/>
      <c r="L140" s="992"/>
      <c r="M140" s="992"/>
    </row>
    <row r="141" spans="1:13">
      <c r="A141" s="992"/>
      <c r="B141" s="992"/>
      <c r="C141" s="992"/>
      <c r="D141" s="992"/>
      <c r="E141" s="993"/>
      <c r="F141" s="993"/>
      <c r="G141" s="993"/>
      <c r="H141" s="993"/>
      <c r="I141" s="993"/>
      <c r="J141" s="992"/>
      <c r="K141" s="992"/>
      <c r="L141" s="992"/>
      <c r="M141" s="992"/>
    </row>
    <row r="142" spans="1:13">
      <c r="A142" s="992"/>
      <c r="B142" s="992"/>
      <c r="C142" s="992"/>
      <c r="D142" s="992"/>
      <c r="E142" s="993"/>
      <c r="F142" s="993"/>
      <c r="G142" s="993"/>
      <c r="H142" s="993"/>
      <c r="I142" s="993"/>
      <c r="J142" s="992"/>
      <c r="K142" s="992"/>
      <c r="L142" s="992"/>
      <c r="M142" s="992"/>
    </row>
    <row r="143" spans="1:13">
      <c r="A143" s="992"/>
      <c r="B143" s="992"/>
      <c r="C143" s="992"/>
      <c r="D143" s="992"/>
      <c r="E143" s="993"/>
      <c r="F143" s="993"/>
      <c r="G143" s="993"/>
      <c r="H143" s="993"/>
      <c r="I143" s="993"/>
      <c r="J143" s="992"/>
      <c r="K143" s="992"/>
      <c r="L143" s="992"/>
      <c r="M143" s="992"/>
    </row>
    <row r="144" spans="1:13">
      <c r="A144" s="992"/>
      <c r="B144" s="992"/>
      <c r="C144" s="992"/>
      <c r="D144" s="992"/>
      <c r="E144" s="993"/>
      <c r="F144" s="993"/>
      <c r="G144" s="993"/>
      <c r="H144" s="993"/>
      <c r="I144" s="993"/>
      <c r="J144" s="992"/>
      <c r="K144" s="992"/>
      <c r="L144" s="992"/>
      <c r="M144" s="992"/>
    </row>
    <row r="145" spans="1:13">
      <c r="A145" s="992"/>
      <c r="B145" s="992"/>
      <c r="C145" s="992"/>
      <c r="D145" s="992"/>
      <c r="E145" s="993"/>
      <c r="F145" s="993"/>
      <c r="G145" s="993"/>
      <c r="H145" s="993"/>
      <c r="I145" s="993"/>
      <c r="J145" s="992"/>
      <c r="K145" s="992"/>
      <c r="L145" s="992"/>
      <c r="M145" s="992"/>
    </row>
    <row r="146" spans="1:13">
      <c r="A146" s="992"/>
      <c r="B146" s="992"/>
      <c r="C146" s="992"/>
      <c r="D146" s="992"/>
      <c r="E146" s="993"/>
      <c r="F146" s="993"/>
      <c r="G146" s="993"/>
      <c r="H146" s="993"/>
      <c r="I146" s="993"/>
      <c r="J146" s="992"/>
      <c r="K146" s="992"/>
      <c r="L146" s="992"/>
      <c r="M146" s="992"/>
    </row>
    <row r="147" spans="1:13">
      <c r="A147" s="992"/>
      <c r="B147" s="992"/>
      <c r="C147" s="992"/>
      <c r="D147" s="992"/>
      <c r="E147" s="993"/>
      <c r="F147" s="993"/>
      <c r="G147" s="993"/>
      <c r="H147" s="993"/>
      <c r="I147" s="993"/>
      <c r="J147" s="992"/>
      <c r="K147" s="992"/>
      <c r="L147" s="992"/>
      <c r="M147" s="992"/>
    </row>
    <row r="148" spans="1:13">
      <c r="A148" s="992"/>
      <c r="B148" s="992"/>
      <c r="C148" s="992"/>
      <c r="D148" s="992"/>
      <c r="E148" s="993"/>
      <c r="F148" s="993"/>
      <c r="G148" s="993"/>
      <c r="H148" s="993"/>
      <c r="I148" s="993"/>
      <c r="J148" s="992"/>
      <c r="K148" s="992"/>
      <c r="L148" s="992"/>
      <c r="M148" s="992"/>
    </row>
    <row r="149" spans="1:13">
      <c r="A149" s="992"/>
      <c r="B149" s="992"/>
      <c r="C149" s="992"/>
      <c r="D149" s="992"/>
      <c r="E149" s="993"/>
      <c r="F149" s="993"/>
      <c r="G149" s="993"/>
      <c r="H149" s="993"/>
      <c r="I149" s="993"/>
      <c r="J149" s="992"/>
      <c r="K149" s="992"/>
      <c r="L149" s="992"/>
      <c r="M149" s="992"/>
    </row>
    <row r="150" spans="1:13">
      <c r="A150" s="992"/>
      <c r="B150" s="992"/>
      <c r="C150" s="992"/>
      <c r="D150" s="992"/>
      <c r="E150" s="993"/>
      <c r="F150" s="993"/>
      <c r="G150" s="993"/>
      <c r="H150" s="993"/>
      <c r="I150" s="993"/>
      <c r="J150" s="992"/>
      <c r="K150" s="992"/>
      <c r="L150" s="992"/>
      <c r="M150" s="992"/>
    </row>
    <row r="151" spans="1:13">
      <c r="A151" s="992"/>
      <c r="B151" s="992"/>
      <c r="C151" s="992"/>
      <c r="D151" s="992"/>
      <c r="E151" s="993"/>
      <c r="F151" s="993"/>
      <c r="G151" s="993"/>
      <c r="H151" s="993"/>
      <c r="I151" s="993"/>
      <c r="J151" s="992"/>
      <c r="K151" s="992"/>
      <c r="L151" s="992"/>
      <c r="M151" s="992"/>
    </row>
    <row r="152" spans="1:13">
      <c r="A152" s="992"/>
      <c r="B152" s="992"/>
      <c r="C152" s="992"/>
      <c r="D152" s="992"/>
      <c r="E152" s="993"/>
      <c r="F152" s="993"/>
      <c r="G152" s="993"/>
      <c r="H152" s="993"/>
      <c r="I152" s="993"/>
      <c r="J152" s="992"/>
      <c r="K152" s="992"/>
      <c r="L152" s="992"/>
      <c r="M152" s="992"/>
    </row>
    <row r="153" spans="1:13">
      <c r="A153" s="992"/>
      <c r="B153" s="992"/>
      <c r="C153" s="992"/>
      <c r="D153" s="992"/>
      <c r="E153" s="993"/>
      <c r="F153" s="993"/>
      <c r="G153" s="993"/>
      <c r="H153" s="993"/>
      <c r="I153" s="993"/>
      <c r="J153" s="992"/>
      <c r="K153" s="992"/>
      <c r="L153" s="992"/>
      <c r="M153" s="992"/>
    </row>
    <row r="154" spans="1:13">
      <c r="A154" s="992"/>
      <c r="B154" s="992"/>
      <c r="C154" s="992"/>
      <c r="D154" s="992"/>
      <c r="E154" s="993"/>
      <c r="F154" s="993"/>
      <c r="G154" s="993"/>
      <c r="H154" s="993"/>
      <c r="I154" s="993"/>
      <c r="J154" s="992"/>
      <c r="K154" s="992"/>
      <c r="L154" s="992"/>
      <c r="M154" s="992"/>
    </row>
    <row r="155" spans="1:13">
      <c r="A155" s="992"/>
      <c r="B155" s="992"/>
      <c r="C155" s="992"/>
      <c r="D155" s="992"/>
      <c r="E155" s="993"/>
      <c r="F155" s="993"/>
      <c r="G155" s="993"/>
      <c r="H155" s="993"/>
      <c r="I155" s="993"/>
      <c r="J155" s="992"/>
      <c r="K155" s="992"/>
      <c r="L155" s="992"/>
      <c r="M155" s="992"/>
    </row>
    <row r="156" spans="1:13">
      <c r="A156" s="992"/>
      <c r="B156" s="992"/>
      <c r="C156" s="992"/>
      <c r="D156" s="992"/>
      <c r="E156" s="993"/>
      <c r="F156" s="993"/>
      <c r="G156" s="993"/>
      <c r="H156" s="993"/>
      <c r="I156" s="993"/>
      <c r="J156" s="992"/>
      <c r="K156" s="992"/>
      <c r="L156" s="992"/>
      <c r="M156" s="992"/>
    </row>
    <row r="157" spans="1:13">
      <c r="A157" s="992"/>
      <c r="B157" s="992"/>
      <c r="C157" s="992"/>
      <c r="D157" s="992"/>
      <c r="E157" s="993"/>
      <c r="F157" s="993"/>
      <c r="G157" s="993"/>
      <c r="H157" s="993"/>
      <c r="I157" s="993"/>
      <c r="J157" s="992"/>
      <c r="K157" s="992"/>
      <c r="L157" s="992"/>
      <c r="M157" s="992"/>
    </row>
    <row r="158" spans="1:13">
      <c r="A158" s="992"/>
      <c r="B158" s="992"/>
      <c r="C158" s="992"/>
      <c r="D158" s="992"/>
      <c r="E158" s="993"/>
      <c r="F158" s="993"/>
      <c r="G158" s="993"/>
      <c r="H158" s="993"/>
      <c r="I158" s="993"/>
      <c r="J158" s="992"/>
      <c r="K158" s="992"/>
      <c r="L158" s="992"/>
      <c r="M158" s="992"/>
    </row>
    <row r="159" spans="1:13">
      <c r="A159" s="992"/>
      <c r="B159" s="992"/>
      <c r="C159" s="992"/>
      <c r="D159" s="992"/>
      <c r="E159" s="993"/>
      <c r="F159" s="993"/>
      <c r="G159" s="993"/>
      <c r="H159" s="993"/>
      <c r="I159" s="993"/>
      <c r="J159" s="992"/>
      <c r="K159" s="992"/>
      <c r="L159" s="992"/>
      <c r="M159" s="992"/>
    </row>
    <row r="160" spans="1:13">
      <c r="A160" s="992"/>
      <c r="B160" s="992"/>
      <c r="C160" s="992"/>
      <c r="D160" s="992"/>
      <c r="E160" s="993"/>
      <c r="F160" s="993"/>
      <c r="G160" s="993"/>
      <c r="H160" s="993"/>
      <c r="I160" s="993"/>
      <c r="J160" s="992"/>
      <c r="K160" s="992"/>
      <c r="L160" s="992"/>
      <c r="M160" s="992"/>
    </row>
    <row r="161" spans="1:13">
      <c r="A161" s="992"/>
      <c r="B161" s="992"/>
      <c r="C161" s="992"/>
      <c r="D161" s="992"/>
      <c r="E161" s="993"/>
      <c r="F161" s="993"/>
      <c r="G161" s="993"/>
      <c r="H161" s="993"/>
      <c r="I161" s="993"/>
      <c r="J161" s="992"/>
      <c r="K161" s="992"/>
      <c r="L161" s="992"/>
      <c r="M161" s="992"/>
    </row>
    <row r="162" spans="1:13">
      <c r="A162" s="992"/>
      <c r="B162" s="992"/>
      <c r="C162" s="992"/>
      <c r="D162" s="992"/>
      <c r="E162" s="993"/>
      <c r="F162" s="993"/>
      <c r="G162" s="993"/>
      <c r="H162" s="993"/>
      <c r="I162" s="993"/>
      <c r="J162" s="992"/>
      <c r="K162" s="992"/>
      <c r="L162" s="992"/>
      <c r="M162" s="992"/>
    </row>
    <row r="163" spans="1:13">
      <c r="A163" s="992"/>
      <c r="B163" s="992"/>
      <c r="C163" s="992"/>
      <c r="D163" s="992"/>
      <c r="E163" s="993"/>
      <c r="F163" s="993"/>
      <c r="G163" s="993"/>
      <c r="H163" s="993"/>
      <c r="I163" s="993"/>
      <c r="J163" s="992"/>
      <c r="K163" s="992"/>
      <c r="L163" s="992"/>
      <c r="M163" s="992"/>
    </row>
    <row r="164" spans="1:13">
      <c r="A164" s="992"/>
      <c r="B164" s="992"/>
      <c r="C164" s="992"/>
      <c r="D164" s="992"/>
      <c r="E164" s="993"/>
      <c r="F164" s="993"/>
      <c r="G164" s="993"/>
      <c r="H164" s="993"/>
      <c r="I164" s="993"/>
      <c r="J164" s="992"/>
      <c r="K164" s="992"/>
      <c r="L164" s="992"/>
      <c r="M164" s="992"/>
    </row>
    <row r="165" spans="1:13">
      <c r="A165" s="992"/>
      <c r="B165" s="992"/>
      <c r="C165" s="992"/>
      <c r="D165" s="992"/>
      <c r="E165" s="993"/>
      <c r="F165" s="993"/>
      <c r="G165" s="993"/>
      <c r="H165" s="993"/>
      <c r="I165" s="993"/>
      <c r="J165" s="992"/>
      <c r="K165" s="992"/>
      <c r="L165" s="992"/>
      <c r="M165" s="992"/>
    </row>
    <row r="166" spans="1:13">
      <c r="A166" s="992"/>
      <c r="B166" s="992"/>
      <c r="C166" s="992"/>
      <c r="D166" s="992"/>
      <c r="E166" s="993"/>
      <c r="F166" s="993"/>
      <c r="G166" s="993"/>
      <c r="H166" s="993"/>
      <c r="I166" s="993"/>
      <c r="J166" s="992"/>
      <c r="K166" s="992"/>
      <c r="L166" s="992"/>
      <c r="M166" s="992"/>
    </row>
    <row r="167" spans="1:13">
      <c r="A167" s="992"/>
      <c r="B167" s="992"/>
      <c r="C167" s="992"/>
      <c r="D167" s="992"/>
      <c r="E167" s="993"/>
      <c r="F167" s="993"/>
      <c r="G167" s="993"/>
      <c r="H167" s="993"/>
      <c r="I167" s="993"/>
      <c r="J167" s="992"/>
      <c r="K167" s="992"/>
      <c r="L167" s="992"/>
      <c r="M167" s="992"/>
    </row>
    <row r="168" spans="1:13">
      <c r="A168" s="992"/>
      <c r="B168" s="992"/>
      <c r="C168" s="992"/>
      <c r="D168" s="992"/>
      <c r="E168" s="993"/>
      <c r="F168" s="993"/>
      <c r="G168" s="993"/>
      <c r="H168" s="993"/>
      <c r="I168" s="993"/>
      <c r="J168" s="992"/>
      <c r="K168" s="992"/>
      <c r="L168" s="992"/>
      <c r="M168" s="992"/>
    </row>
    <row r="169" spans="1:13">
      <c r="A169" s="992"/>
      <c r="B169" s="992"/>
      <c r="C169" s="992"/>
      <c r="D169" s="992"/>
      <c r="E169" s="993"/>
      <c r="F169" s="993"/>
      <c r="G169" s="993"/>
      <c r="H169" s="993"/>
      <c r="I169" s="993"/>
      <c r="J169" s="992"/>
      <c r="K169" s="992"/>
      <c r="L169" s="992"/>
      <c r="M169" s="992"/>
    </row>
    <row r="170" spans="1:13">
      <c r="A170" s="992"/>
      <c r="B170" s="992"/>
      <c r="C170" s="992"/>
      <c r="D170" s="992"/>
      <c r="E170" s="993"/>
      <c r="F170" s="993"/>
      <c r="G170" s="993"/>
      <c r="H170" s="993"/>
      <c r="I170" s="993"/>
      <c r="J170" s="992"/>
      <c r="K170" s="992"/>
      <c r="L170" s="992"/>
      <c r="M170" s="992"/>
    </row>
    <row r="171" spans="1:13">
      <c r="A171" s="992"/>
      <c r="B171" s="992"/>
      <c r="C171" s="992"/>
      <c r="D171" s="992"/>
      <c r="E171" s="993"/>
      <c r="F171" s="993"/>
      <c r="G171" s="993"/>
      <c r="H171" s="993"/>
      <c r="I171" s="993"/>
      <c r="J171" s="992"/>
      <c r="K171" s="992"/>
      <c r="L171" s="992"/>
      <c r="M171" s="992"/>
    </row>
    <row r="172" spans="1:13">
      <c r="A172" s="992"/>
      <c r="B172" s="992"/>
      <c r="C172" s="992"/>
      <c r="D172" s="992"/>
      <c r="E172" s="993"/>
      <c r="F172" s="993"/>
      <c r="G172" s="993"/>
      <c r="H172" s="993"/>
      <c r="I172" s="993"/>
      <c r="J172" s="992"/>
      <c r="K172" s="992"/>
      <c r="L172" s="992"/>
      <c r="M172" s="992"/>
    </row>
    <row r="173" spans="1:13">
      <c r="A173" s="992"/>
      <c r="B173" s="992"/>
      <c r="C173" s="992"/>
      <c r="D173" s="992"/>
      <c r="E173" s="993"/>
      <c r="F173" s="993"/>
      <c r="G173" s="993"/>
      <c r="H173" s="993"/>
      <c r="I173" s="993"/>
      <c r="J173" s="992"/>
      <c r="K173" s="992"/>
      <c r="L173" s="992"/>
      <c r="M173" s="992"/>
    </row>
    <row r="174" spans="1:13">
      <c r="A174" s="992"/>
      <c r="B174" s="992"/>
      <c r="C174" s="992"/>
      <c r="D174" s="992"/>
      <c r="E174" s="993"/>
      <c r="F174" s="993"/>
      <c r="G174" s="993"/>
      <c r="H174" s="993"/>
      <c r="I174" s="993"/>
      <c r="J174" s="992"/>
      <c r="K174" s="992"/>
      <c r="L174" s="992"/>
      <c r="M174" s="992"/>
    </row>
    <row r="175" spans="1:13">
      <c r="A175" s="992"/>
      <c r="B175" s="992"/>
      <c r="C175" s="992"/>
      <c r="D175" s="992"/>
      <c r="E175" s="993"/>
      <c r="F175" s="993"/>
      <c r="G175" s="993"/>
      <c r="H175" s="993"/>
      <c r="I175" s="993"/>
      <c r="J175" s="992"/>
      <c r="K175" s="992"/>
      <c r="L175" s="992"/>
      <c r="M175" s="992"/>
    </row>
    <row r="176" spans="1:13">
      <c r="A176" s="992"/>
      <c r="B176" s="992"/>
      <c r="C176" s="992"/>
      <c r="D176" s="992"/>
      <c r="E176" s="993"/>
      <c r="F176" s="993"/>
      <c r="G176" s="993"/>
      <c r="H176" s="993"/>
      <c r="I176" s="993"/>
      <c r="J176" s="992"/>
      <c r="K176" s="992"/>
      <c r="L176" s="992"/>
      <c r="M176" s="992"/>
    </row>
    <row r="177" spans="1:13">
      <c r="A177" s="992"/>
      <c r="B177" s="992"/>
      <c r="C177" s="992"/>
      <c r="D177" s="992"/>
      <c r="E177" s="993"/>
      <c r="F177" s="993"/>
      <c r="G177" s="993"/>
      <c r="H177" s="993"/>
      <c r="I177" s="993"/>
      <c r="J177" s="992"/>
      <c r="K177" s="992"/>
      <c r="L177" s="992"/>
      <c r="M177" s="992"/>
    </row>
    <row r="178" spans="1:13">
      <c r="A178" s="992"/>
      <c r="B178" s="992"/>
      <c r="C178" s="992"/>
      <c r="D178" s="992"/>
      <c r="E178" s="993"/>
      <c r="F178" s="993"/>
      <c r="G178" s="993"/>
      <c r="H178" s="993"/>
      <c r="I178" s="993"/>
      <c r="J178" s="992"/>
      <c r="K178" s="992"/>
      <c r="L178" s="992"/>
      <c r="M178" s="992"/>
    </row>
    <row r="179" spans="1:13">
      <c r="A179" s="992"/>
      <c r="B179" s="992"/>
      <c r="C179" s="992"/>
      <c r="D179" s="992"/>
      <c r="E179" s="993"/>
      <c r="F179" s="993"/>
      <c r="G179" s="993"/>
      <c r="H179" s="993"/>
      <c r="I179" s="993"/>
      <c r="J179" s="992"/>
      <c r="K179" s="992"/>
      <c r="L179" s="992"/>
      <c r="M179" s="992"/>
    </row>
    <row r="180" spans="1:13">
      <c r="A180" s="992"/>
      <c r="B180" s="992"/>
      <c r="C180" s="992"/>
      <c r="D180" s="992"/>
      <c r="E180" s="993"/>
      <c r="F180" s="993"/>
      <c r="G180" s="993"/>
      <c r="H180" s="993"/>
      <c r="I180" s="993"/>
      <c r="J180" s="992"/>
      <c r="K180" s="992"/>
      <c r="L180" s="992"/>
      <c r="M180" s="992"/>
    </row>
    <row r="181" spans="1:13">
      <c r="A181" s="992"/>
      <c r="B181" s="992"/>
      <c r="C181" s="992"/>
      <c r="D181" s="992"/>
      <c r="E181" s="993"/>
      <c r="F181" s="993"/>
      <c r="G181" s="993"/>
      <c r="H181" s="993"/>
      <c r="I181" s="993"/>
      <c r="J181" s="992"/>
      <c r="K181" s="992"/>
      <c r="L181" s="992"/>
      <c r="M181" s="992"/>
    </row>
    <row r="182" spans="1:13">
      <c r="A182" s="992"/>
      <c r="B182" s="992"/>
      <c r="C182" s="992"/>
      <c r="D182" s="992"/>
      <c r="E182" s="993"/>
      <c r="F182" s="993"/>
      <c r="G182" s="993"/>
      <c r="H182" s="993"/>
      <c r="I182" s="993"/>
      <c r="J182" s="992"/>
      <c r="K182" s="992"/>
      <c r="L182" s="992"/>
      <c r="M182" s="992"/>
    </row>
    <row r="183" spans="1:13">
      <c r="A183" s="992"/>
      <c r="B183" s="992"/>
      <c r="C183" s="992"/>
      <c r="D183" s="992"/>
      <c r="E183" s="993"/>
      <c r="F183" s="993"/>
      <c r="G183" s="993"/>
      <c r="H183" s="993"/>
      <c r="I183" s="993"/>
      <c r="J183" s="992"/>
      <c r="K183" s="992"/>
      <c r="L183" s="992"/>
      <c r="M183" s="992"/>
    </row>
    <row r="184" spans="1:13">
      <c r="A184" s="992"/>
      <c r="B184" s="992"/>
      <c r="C184" s="992"/>
      <c r="D184" s="992"/>
      <c r="E184" s="993"/>
      <c r="F184" s="993"/>
      <c r="G184" s="993"/>
      <c r="H184" s="993"/>
      <c r="I184" s="993"/>
      <c r="J184" s="992"/>
      <c r="K184" s="992"/>
      <c r="L184" s="992"/>
      <c r="M184" s="992"/>
    </row>
    <row r="185" spans="1:13">
      <c r="A185" s="992"/>
      <c r="B185" s="992"/>
      <c r="C185" s="992"/>
      <c r="D185" s="992"/>
      <c r="E185" s="993"/>
      <c r="F185" s="993"/>
      <c r="G185" s="993"/>
      <c r="H185" s="993"/>
      <c r="I185" s="993"/>
      <c r="J185" s="992"/>
      <c r="K185" s="992"/>
      <c r="L185" s="992"/>
      <c r="M185" s="992"/>
    </row>
    <row r="186" spans="1:13">
      <c r="A186" s="992"/>
      <c r="B186" s="992"/>
      <c r="C186" s="992"/>
      <c r="D186" s="992"/>
      <c r="E186" s="993"/>
      <c r="F186" s="993"/>
      <c r="G186" s="993"/>
      <c r="H186" s="993"/>
      <c r="I186" s="993"/>
      <c r="J186" s="992"/>
      <c r="K186" s="992"/>
      <c r="L186" s="992"/>
      <c r="M186" s="992"/>
    </row>
    <row r="187" spans="1:13">
      <c r="A187" s="992"/>
      <c r="B187" s="992"/>
      <c r="C187" s="992"/>
      <c r="D187" s="992"/>
      <c r="E187" s="993"/>
      <c r="F187" s="993"/>
      <c r="G187" s="993"/>
      <c r="H187" s="993"/>
      <c r="I187" s="993"/>
      <c r="J187" s="992"/>
      <c r="K187" s="992"/>
      <c r="L187" s="992"/>
      <c r="M187" s="992"/>
    </row>
    <row r="188" spans="1:13">
      <c r="A188" s="992"/>
      <c r="B188" s="992"/>
      <c r="C188" s="992"/>
      <c r="D188" s="992"/>
      <c r="E188" s="993"/>
      <c r="F188" s="993"/>
      <c r="G188" s="993"/>
      <c r="H188" s="993"/>
      <c r="I188" s="993"/>
      <c r="J188" s="992"/>
      <c r="K188" s="992"/>
      <c r="L188" s="992"/>
      <c r="M188" s="992"/>
    </row>
    <row r="189" spans="1:13">
      <c r="A189" s="992"/>
      <c r="B189" s="992"/>
      <c r="C189" s="992"/>
      <c r="D189" s="992"/>
      <c r="E189" s="993"/>
      <c r="F189" s="993"/>
      <c r="G189" s="993"/>
      <c r="H189" s="993"/>
      <c r="I189" s="993"/>
      <c r="J189" s="992"/>
      <c r="K189" s="992"/>
      <c r="L189" s="992"/>
      <c r="M189" s="992"/>
    </row>
    <row r="190" spans="1:13">
      <c r="A190" s="992"/>
      <c r="B190" s="992"/>
      <c r="C190" s="992"/>
      <c r="D190" s="992"/>
      <c r="E190" s="993"/>
      <c r="F190" s="993"/>
      <c r="G190" s="993"/>
      <c r="H190" s="993"/>
      <c r="I190" s="993"/>
      <c r="J190" s="992"/>
      <c r="K190" s="992"/>
      <c r="L190" s="992"/>
      <c r="M190" s="992"/>
    </row>
    <row r="191" spans="1:13">
      <c r="A191" s="992"/>
      <c r="B191" s="992"/>
      <c r="C191" s="992"/>
      <c r="D191" s="992"/>
      <c r="E191" s="993"/>
      <c r="F191" s="993"/>
      <c r="G191" s="993"/>
      <c r="H191" s="993"/>
      <c r="I191" s="993"/>
      <c r="J191" s="992"/>
      <c r="K191" s="992"/>
      <c r="L191" s="992"/>
      <c r="M191" s="992"/>
    </row>
    <row r="192" spans="1:13">
      <c r="A192" s="992"/>
      <c r="B192" s="992"/>
      <c r="C192" s="992"/>
      <c r="D192" s="992"/>
      <c r="E192" s="993"/>
      <c r="F192" s="993"/>
      <c r="G192" s="993"/>
      <c r="H192" s="993"/>
      <c r="I192" s="993"/>
      <c r="J192" s="992"/>
      <c r="K192" s="992"/>
      <c r="L192" s="992"/>
      <c r="M192" s="992"/>
    </row>
    <row r="193" spans="1:13">
      <c r="A193" s="992"/>
      <c r="B193" s="992"/>
      <c r="C193" s="992"/>
      <c r="D193" s="992"/>
      <c r="E193" s="993"/>
      <c r="F193" s="993"/>
      <c r="G193" s="993"/>
      <c r="H193" s="993"/>
      <c r="I193" s="993"/>
      <c r="J193" s="992"/>
      <c r="K193" s="992"/>
      <c r="L193" s="992"/>
      <c r="M193" s="992"/>
    </row>
    <row r="194" spans="1:13">
      <c r="A194" s="992"/>
      <c r="B194" s="992"/>
      <c r="C194" s="992"/>
      <c r="D194" s="992"/>
      <c r="E194" s="993"/>
      <c r="F194" s="993"/>
      <c r="G194" s="993"/>
      <c r="H194" s="993"/>
      <c r="I194" s="993"/>
      <c r="J194" s="992"/>
      <c r="K194" s="992"/>
      <c r="L194" s="992"/>
      <c r="M194" s="992"/>
    </row>
    <row r="195" spans="1:13">
      <c r="A195" s="992"/>
      <c r="B195" s="992"/>
      <c r="C195" s="992"/>
      <c r="D195" s="992"/>
      <c r="E195" s="993"/>
      <c r="F195" s="993"/>
      <c r="G195" s="993"/>
      <c r="H195" s="993"/>
      <c r="I195" s="993"/>
      <c r="J195" s="992"/>
      <c r="K195" s="992"/>
      <c r="L195" s="992"/>
      <c r="M195" s="992"/>
    </row>
    <row r="196" spans="1:13">
      <c r="A196" s="992"/>
      <c r="B196" s="992"/>
      <c r="C196" s="992"/>
      <c r="D196" s="992"/>
      <c r="E196" s="993"/>
      <c r="F196" s="993"/>
      <c r="G196" s="993"/>
      <c r="H196" s="993"/>
      <c r="I196" s="993"/>
      <c r="J196" s="992"/>
      <c r="K196" s="992"/>
      <c r="L196" s="992"/>
      <c r="M196" s="992"/>
    </row>
    <row r="197" spans="1:13">
      <c r="A197" s="992"/>
      <c r="B197" s="992"/>
      <c r="C197" s="992"/>
      <c r="D197" s="992"/>
      <c r="E197" s="993"/>
      <c r="F197" s="993"/>
      <c r="G197" s="993"/>
      <c r="H197" s="993"/>
      <c r="I197" s="993"/>
      <c r="J197" s="992"/>
      <c r="K197" s="992"/>
      <c r="L197" s="992"/>
      <c r="M197" s="992"/>
    </row>
    <row r="198" spans="1:13">
      <c r="A198" s="992"/>
      <c r="B198" s="992"/>
      <c r="C198" s="992"/>
      <c r="D198" s="992"/>
      <c r="E198" s="993"/>
      <c r="F198" s="993"/>
      <c r="G198" s="993"/>
      <c r="H198" s="993"/>
      <c r="I198" s="993"/>
      <c r="J198" s="992"/>
      <c r="K198" s="992"/>
      <c r="L198" s="992"/>
      <c r="M198" s="992"/>
    </row>
    <row r="199" spans="1:13">
      <c r="A199" s="992"/>
      <c r="B199" s="992"/>
      <c r="C199" s="992"/>
      <c r="D199" s="992"/>
      <c r="E199" s="993"/>
      <c r="F199" s="993"/>
      <c r="G199" s="993"/>
      <c r="H199" s="993"/>
      <c r="I199" s="993"/>
      <c r="J199" s="992"/>
      <c r="K199" s="992"/>
      <c r="L199" s="992"/>
      <c r="M199" s="992"/>
    </row>
    <row r="200" spans="1:13">
      <c r="A200" s="992"/>
      <c r="B200" s="992"/>
      <c r="C200" s="992"/>
      <c r="D200" s="992"/>
      <c r="E200" s="993"/>
      <c r="F200" s="993"/>
      <c r="G200" s="993"/>
      <c r="H200" s="993"/>
      <c r="I200" s="993"/>
      <c r="J200" s="992"/>
      <c r="K200" s="992"/>
      <c r="L200" s="992"/>
      <c r="M200" s="992"/>
    </row>
    <row r="201" spans="1:13">
      <c r="A201" s="992"/>
      <c r="B201" s="992"/>
      <c r="C201" s="992"/>
      <c r="D201" s="992"/>
      <c r="E201" s="993"/>
      <c r="F201" s="993"/>
      <c r="G201" s="993"/>
      <c r="H201" s="993"/>
      <c r="I201" s="993"/>
      <c r="J201" s="992"/>
      <c r="K201" s="992"/>
      <c r="L201" s="992"/>
      <c r="M201" s="992"/>
    </row>
    <row r="202" spans="1:13">
      <c r="A202" s="992"/>
      <c r="B202" s="992"/>
      <c r="C202" s="992"/>
      <c r="D202" s="992"/>
      <c r="E202" s="993"/>
      <c r="F202" s="993"/>
      <c r="G202" s="993"/>
      <c r="H202" s="993"/>
      <c r="I202" s="993"/>
      <c r="J202" s="992"/>
      <c r="K202" s="992"/>
      <c r="L202" s="992"/>
      <c r="M202" s="992"/>
    </row>
    <row r="203" spans="1:13">
      <c r="A203" s="992"/>
      <c r="B203" s="992"/>
      <c r="C203" s="992"/>
      <c r="D203" s="992"/>
      <c r="E203" s="993"/>
      <c r="F203" s="993"/>
      <c r="G203" s="993"/>
      <c r="H203" s="993"/>
      <c r="I203" s="993"/>
      <c r="J203" s="992"/>
      <c r="K203" s="992"/>
      <c r="L203" s="992"/>
      <c r="M203" s="992"/>
    </row>
    <row r="204" spans="1:13">
      <c r="A204" s="992"/>
      <c r="B204" s="992"/>
      <c r="C204" s="992"/>
      <c r="D204" s="992"/>
      <c r="E204" s="993"/>
      <c r="F204" s="993"/>
      <c r="G204" s="993"/>
      <c r="H204" s="993"/>
      <c r="I204" s="993"/>
      <c r="J204" s="992"/>
      <c r="K204" s="992"/>
      <c r="L204" s="992"/>
      <c r="M204" s="992"/>
    </row>
    <row r="205" spans="1:13">
      <c r="A205" s="992"/>
      <c r="B205" s="992"/>
      <c r="C205" s="992"/>
      <c r="D205" s="992"/>
      <c r="E205" s="993"/>
      <c r="F205" s="993"/>
      <c r="G205" s="993"/>
      <c r="H205" s="993"/>
      <c r="I205" s="993"/>
      <c r="J205" s="992"/>
      <c r="K205" s="992"/>
      <c r="L205" s="992"/>
      <c r="M205" s="992"/>
    </row>
    <row r="206" spans="1:13">
      <c r="A206" s="992"/>
      <c r="B206" s="992"/>
      <c r="C206" s="992"/>
      <c r="D206" s="992"/>
      <c r="E206" s="993"/>
      <c r="F206" s="993"/>
      <c r="G206" s="993"/>
      <c r="H206" s="993"/>
      <c r="I206" s="993"/>
      <c r="J206" s="992"/>
      <c r="K206" s="992"/>
      <c r="L206" s="992"/>
      <c r="M206" s="992"/>
    </row>
    <row r="207" spans="1:13">
      <c r="A207" s="992"/>
      <c r="B207" s="992"/>
      <c r="C207" s="992"/>
      <c r="D207" s="992"/>
      <c r="E207" s="993"/>
      <c r="F207" s="993"/>
      <c r="G207" s="993"/>
      <c r="H207" s="993"/>
      <c r="I207" s="993"/>
      <c r="J207" s="992"/>
      <c r="K207" s="992"/>
      <c r="L207" s="992"/>
      <c r="M207" s="992"/>
    </row>
    <row r="208" spans="1:13">
      <c r="A208" s="992"/>
      <c r="B208" s="992"/>
      <c r="C208" s="992"/>
      <c r="D208" s="992"/>
      <c r="E208" s="993"/>
      <c r="F208" s="993"/>
      <c r="G208" s="993"/>
      <c r="H208" s="993"/>
      <c r="I208" s="993"/>
      <c r="J208" s="992"/>
      <c r="K208" s="992"/>
      <c r="L208" s="992"/>
      <c r="M208" s="992"/>
    </row>
    <row r="209" spans="1:13">
      <c r="A209" s="992"/>
      <c r="B209" s="992"/>
      <c r="C209" s="992"/>
      <c r="D209" s="992"/>
      <c r="E209" s="993"/>
      <c r="F209" s="993"/>
      <c r="G209" s="993"/>
      <c r="H209" s="993"/>
      <c r="I209" s="993"/>
      <c r="J209" s="992"/>
      <c r="K209" s="992"/>
      <c r="L209" s="992"/>
      <c r="M209" s="992"/>
    </row>
    <row r="210" spans="1:13">
      <c r="A210" s="992"/>
      <c r="B210" s="992"/>
      <c r="C210" s="992"/>
      <c r="D210" s="992"/>
      <c r="E210" s="993"/>
      <c r="F210" s="993"/>
      <c r="G210" s="993"/>
      <c r="H210" s="993"/>
      <c r="I210" s="993"/>
      <c r="J210" s="992"/>
      <c r="K210" s="992"/>
      <c r="L210" s="992"/>
      <c r="M210" s="992"/>
    </row>
    <row r="211" spans="1:13">
      <c r="A211" s="992"/>
      <c r="B211" s="992"/>
      <c r="C211" s="992"/>
      <c r="D211" s="992"/>
      <c r="E211" s="993"/>
      <c r="F211" s="993"/>
      <c r="G211" s="993"/>
      <c r="H211" s="993"/>
      <c r="I211" s="993"/>
      <c r="J211" s="992"/>
      <c r="K211" s="992"/>
      <c r="L211" s="992"/>
      <c r="M211" s="992"/>
    </row>
    <row r="212" spans="1:13">
      <c r="A212" s="992"/>
      <c r="B212" s="992"/>
      <c r="C212" s="992"/>
      <c r="D212" s="992"/>
      <c r="E212" s="993"/>
      <c r="F212" s="993"/>
      <c r="G212" s="993"/>
      <c r="H212" s="993"/>
      <c r="I212" s="993"/>
      <c r="J212" s="992"/>
      <c r="K212" s="992"/>
      <c r="L212" s="992"/>
      <c r="M212" s="992"/>
    </row>
    <row r="213" spans="1:13">
      <c r="A213" s="992"/>
      <c r="B213" s="992"/>
      <c r="C213" s="992"/>
      <c r="D213" s="992"/>
      <c r="E213" s="993"/>
      <c r="F213" s="993"/>
      <c r="G213" s="993"/>
      <c r="H213" s="993"/>
      <c r="I213" s="993"/>
      <c r="J213" s="992"/>
      <c r="K213" s="992"/>
      <c r="L213" s="992"/>
      <c r="M213" s="992"/>
    </row>
    <row r="214" spans="1:13">
      <c r="A214" s="992"/>
      <c r="B214" s="992"/>
      <c r="C214" s="992"/>
      <c r="D214" s="992"/>
      <c r="E214" s="993"/>
      <c r="F214" s="993"/>
      <c r="G214" s="993"/>
      <c r="H214" s="993"/>
      <c r="I214" s="993"/>
      <c r="J214" s="992"/>
      <c r="K214" s="992"/>
      <c r="L214" s="992"/>
      <c r="M214" s="992"/>
    </row>
    <row r="215" spans="1:13">
      <c r="A215" s="992"/>
      <c r="B215" s="992"/>
      <c r="C215" s="992"/>
      <c r="D215" s="992"/>
      <c r="E215" s="993"/>
      <c r="F215" s="993"/>
      <c r="G215" s="993"/>
      <c r="H215" s="993"/>
      <c r="I215" s="993"/>
      <c r="J215" s="992"/>
      <c r="K215" s="992"/>
      <c r="L215" s="992"/>
      <c r="M215" s="992"/>
    </row>
    <row r="216" spans="1:13">
      <c r="A216" s="992"/>
      <c r="B216" s="992"/>
      <c r="C216" s="992"/>
      <c r="D216" s="992"/>
      <c r="E216" s="993"/>
      <c r="F216" s="993"/>
      <c r="G216" s="993"/>
      <c r="H216" s="993"/>
      <c r="I216" s="993"/>
      <c r="J216" s="992"/>
      <c r="K216" s="992"/>
      <c r="L216" s="992"/>
      <c r="M216" s="992"/>
    </row>
    <row r="217" spans="1:13">
      <c r="A217" s="992"/>
      <c r="B217" s="992"/>
      <c r="C217" s="992"/>
      <c r="D217" s="992"/>
      <c r="E217" s="993"/>
      <c r="F217" s="993"/>
      <c r="G217" s="993"/>
      <c r="H217" s="993"/>
      <c r="I217" s="993"/>
      <c r="J217" s="992"/>
      <c r="K217" s="992"/>
      <c r="L217" s="992"/>
      <c r="M217" s="992"/>
    </row>
    <row r="218" spans="1:13">
      <c r="A218" s="992"/>
      <c r="B218" s="992"/>
      <c r="C218" s="992"/>
      <c r="D218" s="992"/>
      <c r="E218" s="993"/>
      <c r="F218" s="993"/>
      <c r="G218" s="993"/>
      <c r="H218" s="993"/>
      <c r="I218" s="993"/>
      <c r="J218" s="992"/>
      <c r="K218" s="992"/>
      <c r="L218" s="992"/>
      <c r="M218" s="992"/>
    </row>
    <row r="219" spans="1:13">
      <c r="A219" s="992"/>
      <c r="B219" s="992"/>
      <c r="C219" s="992"/>
      <c r="D219" s="992"/>
      <c r="E219" s="993"/>
      <c r="F219" s="993"/>
      <c r="G219" s="993"/>
      <c r="H219" s="993"/>
      <c r="I219" s="993"/>
      <c r="J219" s="992"/>
      <c r="K219" s="992"/>
      <c r="L219" s="992"/>
      <c r="M219" s="992"/>
    </row>
    <row r="220" spans="1:13">
      <c r="A220" s="992"/>
      <c r="B220" s="992"/>
      <c r="C220" s="992"/>
      <c r="D220" s="992"/>
      <c r="E220" s="993"/>
      <c r="F220" s="993"/>
      <c r="G220" s="993"/>
      <c r="H220" s="993"/>
      <c r="I220" s="993"/>
      <c r="J220" s="992"/>
      <c r="K220" s="992"/>
      <c r="L220" s="992"/>
      <c r="M220" s="992"/>
    </row>
    <row r="221" spans="1:13">
      <c r="A221" s="992"/>
      <c r="B221" s="992"/>
      <c r="C221" s="992"/>
      <c r="D221" s="992"/>
      <c r="E221" s="993"/>
      <c r="F221" s="993"/>
      <c r="G221" s="993"/>
      <c r="H221" s="993"/>
      <c r="I221" s="993"/>
      <c r="J221" s="992"/>
      <c r="K221" s="992"/>
      <c r="L221" s="992"/>
      <c r="M221" s="992"/>
    </row>
    <row r="222" spans="1:13">
      <c r="A222" s="992"/>
      <c r="B222" s="992"/>
      <c r="C222" s="992"/>
      <c r="D222" s="992"/>
      <c r="E222" s="993"/>
      <c r="F222" s="993"/>
      <c r="G222" s="993"/>
      <c r="H222" s="993"/>
      <c r="I222" s="993"/>
      <c r="J222" s="992"/>
      <c r="K222" s="992"/>
      <c r="L222" s="992"/>
      <c r="M222" s="992"/>
    </row>
    <row r="223" spans="1:13">
      <c r="A223" s="992"/>
      <c r="B223" s="992"/>
      <c r="C223" s="992"/>
      <c r="D223" s="992"/>
      <c r="E223" s="993"/>
      <c r="F223" s="993"/>
      <c r="G223" s="993"/>
      <c r="H223" s="993"/>
      <c r="I223" s="993"/>
      <c r="J223" s="992"/>
      <c r="K223" s="992"/>
      <c r="L223" s="992"/>
      <c r="M223" s="992"/>
    </row>
    <row r="224" spans="1:13">
      <c r="A224" s="992"/>
      <c r="B224" s="992"/>
      <c r="C224" s="992"/>
      <c r="D224" s="992"/>
      <c r="E224" s="993"/>
      <c r="F224" s="993"/>
      <c r="G224" s="993"/>
      <c r="H224" s="993"/>
      <c r="I224" s="993"/>
      <c r="J224" s="992"/>
      <c r="K224" s="992"/>
      <c r="L224" s="992"/>
      <c r="M224" s="992"/>
    </row>
    <row r="225" spans="1:13">
      <c r="A225" s="992"/>
      <c r="B225" s="992"/>
      <c r="C225" s="992"/>
      <c r="D225" s="992"/>
      <c r="E225" s="993"/>
      <c r="F225" s="993"/>
      <c r="G225" s="993"/>
      <c r="H225" s="993"/>
      <c r="I225" s="993"/>
      <c r="J225" s="992"/>
      <c r="K225" s="992"/>
      <c r="L225" s="992"/>
      <c r="M225" s="992"/>
    </row>
    <row r="226" spans="1:13">
      <c r="A226" s="992"/>
      <c r="B226" s="992"/>
      <c r="C226" s="992"/>
      <c r="D226" s="992"/>
      <c r="E226" s="993"/>
      <c r="F226" s="993"/>
      <c r="G226" s="993"/>
      <c r="H226" s="993"/>
      <c r="I226" s="993"/>
      <c r="J226" s="992"/>
      <c r="K226" s="992"/>
      <c r="L226" s="992"/>
      <c r="M226" s="992"/>
    </row>
    <row r="227" spans="1:13">
      <c r="A227" s="992"/>
      <c r="B227" s="992"/>
      <c r="C227" s="992"/>
      <c r="D227" s="992"/>
      <c r="E227" s="993"/>
      <c r="F227" s="993"/>
      <c r="G227" s="993"/>
      <c r="H227" s="993"/>
      <c r="I227" s="993"/>
      <c r="J227" s="992"/>
      <c r="K227" s="992"/>
      <c r="L227" s="992"/>
      <c r="M227" s="992"/>
    </row>
    <row r="228" spans="1:13">
      <c r="A228" s="992"/>
      <c r="B228" s="992"/>
      <c r="C228" s="992"/>
      <c r="D228" s="992"/>
      <c r="E228" s="993"/>
      <c r="F228" s="993"/>
      <c r="G228" s="993"/>
      <c r="H228" s="993"/>
      <c r="I228" s="993"/>
      <c r="J228" s="992"/>
      <c r="K228" s="992"/>
      <c r="L228" s="992"/>
      <c r="M228" s="992"/>
    </row>
    <row r="229" spans="1:13">
      <c r="A229" s="992"/>
      <c r="B229" s="992"/>
      <c r="C229" s="992"/>
      <c r="D229" s="992"/>
      <c r="E229" s="993"/>
      <c r="F229" s="993"/>
      <c r="G229" s="993"/>
      <c r="H229" s="993"/>
      <c r="I229" s="993"/>
      <c r="J229" s="992"/>
      <c r="K229" s="992"/>
      <c r="L229" s="992"/>
      <c r="M229" s="992"/>
    </row>
    <row r="230" spans="1:13">
      <c r="A230" s="992"/>
      <c r="B230" s="992"/>
      <c r="C230" s="992"/>
      <c r="D230" s="992"/>
      <c r="E230" s="993"/>
      <c r="F230" s="993"/>
      <c r="G230" s="993"/>
      <c r="H230" s="993"/>
      <c r="I230" s="993"/>
      <c r="J230" s="992"/>
      <c r="K230" s="992"/>
      <c r="L230" s="992"/>
      <c r="M230" s="992"/>
    </row>
    <row r="231" spans="1:13">
      <c r="A231" s="992"/>
      <c r="B231" s="992"/>
      <c r="C231" s="992"/>
      <c r="D231" s="992"/>
      <c r="E231" s="993"/>
      <c r="F231" s="993"/>
      <c r="G231" s="993"/>
      <c r="H231" s="993"/>
      <c r="I231" s="993"/>
      <c r="J231" s="992"/>
      <c r="K231" s="992"/>
      <c r="L231" s="992"/>
      <c r="M231" s="992"/>
    </row>
    <row r="232" spans="1:13">
      <c r="A232" s="992"/>
      <c r="B232" s="992"/>
      <c r="C232" s="992"/>
      <c r="D232" s="992"/>
      <c r="E232" s="993"/>
      <c r="F232" s="993"/>
      <c r="G232" s="993"/>
      <c r="H232" s="993"/>
      <c r="I232" s="993"/>
      <c r="J232" s="992"/>
      <c r="K232" s="992"/>
      <c r="L232" s="992"/>
      <c r="M232" s="992"/>
    </row>
    <row r="233" spans="1:13">
      <c r="A233" s="992"/>
      <c r="B233" s="992"/>
      <c r="C233" s="992"/>
      <c r="D233" s="992"/>
      <c r="E233" s="993"/>
      <c r="F233" s="993"/>
      <c r="G233" s="993"/>
      <c r="H233" s="993"/>
      <c r="I233" s="993"/>
      <c r="J233" s="992"/>
      <c r="K233" s="992"/>
      <c r="L233" s="992"/>
      <c r="M233" s="992"/>
    </row>
    <row r="234" spans="1:13">
      <c r="A234" s="992"/>
      <c r="B234" s="992"/>
      <c r="C234" s="992"/>
      <c r="D234" s="992"/>
      <c r="E234" s="993"/>
      <c r="F234" s="993"/>
      <c r="G234" s="993"/>
      <c r="H234" s="993"/>
      <c r="I234" s="993"/>
      <c r="J234" s="992"/>
      <c r="K234" s="992"/>
      <c r="L234" s="992"/>
      <c r="M234" s="992"/>
    </row>
    <row r="235" spans="1:13">
      <c r="A235" s="992"/>
      <c r="B235" s="992"/>
      <c r="C235" s="992"/>
      <c r="D235" s="992"/>
      <c r="E235" s="993"/>
      <c r="F235" s="993"/>
      <c r="G235" s="993"/>
      <c r="H235" s="993"/>
      <c r="I235" s="993"/>
      <c r="J235" s="992"/>
      <c r="K235" s="992"/>
      <c r="L235" s="992"/>
      <c r="M235" s="992"/>
    </row>
    <row r="236" spans="1:13">
      <c r="A236" s="992"/>
      <c r="B236" s="992"/>
      <c r="C236" s="992"/>
      <c r="D236" s="992"/>
      <c r="E236" s="993"/>
      <c r="F236" s="993"/>
      <c r="G236" s="993"/>
      <c r="H236" s="993"/>
      <c r="I236" s="993"/>
      <c r="J236" s="992"/>
      <c r="K236" s="992"/>
      <c r="L236" s="992"/>
      <c r="M236" s="992"/>
    </row>
    <row r="237" spans="1:13">
      <c r="A237" s="992"/>
      <c r="B237" s="992"/>
      <c r="C237" s="992"/>
      <c r="D237" s="992"/>
      <c r="E237" s="993"/>
      <c r="F237" s="993"/>
      <c r="G237" s="993"/>
      <c r="H237" s="993"/>
      <c r="I237" s="993"/>
      <c r="J237" s="992"/>
      <c r="K237" s="992"/>
      <c r="L237" s="992"/>
      <c r="M237" s="992"/>
    </row>
    <row r="238" spans="1:13">
      <c r="A238" s="992"/>
      <c r="B238" s="992"/>
      <c r="C238" s="992"/>
      <c r="D238" s="992"/>
      <c r="E238" s="993"/>
      <c r="F238" s="993"/>
      <c r="G238" s="993"/>
      <c r="H238" s="993"/>
      <c r="I238" s="993"/>
      <c r="J238" s="992"/>
      <c r="K238" s="992"/>
      <c r="L238" s="992"/>
      <c r="M238" s="992"/>
    </row>
    <row r="239" spans="1:13">
      <c r="A239" s="992"/>
      <c r="B239" s="992"/>
      <c r="C239" s="992"/>
      <c r="D239" s="992"/>
      <c r="E239" s="993"/>
      <c r="F239" s="993"/>
      <c r="G239" s="993"/>
      <c r="H239" s="993"/>
      <c r="I239" s="993"/>
      <c r="J239" s="992"/>
      <c r="K239" s="992"/>
      <c r="L239" s="992"/>
      <c r="M239" s="992"/>
    </row>
    <row r="240" spans="1:13">
      <c r="A240" s="992"/>
      <c r="B240" s="992"/>
      <c r="C240" s="992"/>
      <c r="D240" s="992"/>
      <c r="E240" s="993"/>
      <c r="F240" s="993"/>
      <c r="G240" s="993"/>
      <c r="H240" s="993"/>
      <c r="I240" s="993"/>
      <c r="J240" s="992"/>
      <c r="K240" s="992"/>
      <c r="L240" s="992"/>
      <c r="M240" s="992"/>
    </row>
    <row r="241" spans="1:13">
      <c r="A241" s="992"/>
      <c r="B241" s="992"/>
      <c r="C241" s="992"/>
      <c r="D241" s="992"/>
      <c r="E241" s="993"/>
      <c r="F241" s="993"/>
      <c r="G241" s="993"/>
      <c r="H241" s="993"/>
      <c r="I241" s="993"/>
      <c r="J241" s="992"/>
      <c r="K241" s="992"/>
      <c r="L241" s="992"/>
      <c r="M241" s="992"/>
    </row>
    <row r="242" spans="1:13">
      <c r="A242" s="992"/>
      <c r="B242" s="992"/>
      <c r="C242" s="992"/>
      <c r="D242" s="992"/>
      <c r="E242" s="993"/>
      <c r="F242" s="993"/>
      <c r="G242" s="993"/>
      <c r="H242" s="993"/>
      <c r="I242" s="993"/>
      <c r="J242" s="992"/>
      <c r="K242" s="992"/>
      <c r="L242" s="992"/>
      <c r="M242" s="992"/>
    </row>
    <row r="243" spans="1:13">
      <c r="A243" s="992"/>
      <c r="B243" s="992"/>
      <c r="C243" s="992"/>
      <c r="D243" s="992"/>
      <c r="E243" s="993"/>
      <c r="F243" s="993"/>
      <c r="G243" s="993"/>
      <c r="H243" s="993"/>
      <c r="I243" s="993"/>
      <c r="J243" s="992"/>
      <c r="K243" s="992"/>
      <c r="L243" s="992"/>
      <c r="M243" s="992"/>
    </row>
    <row r="244" spans="1:13">
      <c r="A244" s="992"/>
      <c r="B244" s="992"/>
      <c r="C244" s="992"/>
      <c r="D244" s="992"/>
      <c r="E244" s="993"/>
      <c r="F244" s="993"/>
      <c r="G244" s="993"/>
      <c r="H244" s="993"/>
      <c r="I244" s="993"/>
      <c r="J244" s="992"/>
      <c r="K244" s="992"/>
      <c r="L244" s="992"/>
      <c r="M244" s="992"/>
    </row>
    <row r="245" spans="1:13">
      <c r="A245" s="992"/>
      <c r="B245" s="992"/>
      <c r="C245" s="992"/>
      <c r="D245" s="992"/>
      <c r="E245" s="993"/>
      <c r="F245" s="993"/>
      <c r="G245" s="993"/>
      <c r="H245" s="993"/>
      <c r="I245" s="993"/>
      <c r="J245" s="992"/>
      <c r="K245" s="992"/>
      <c r="L245" s="992"/>
      <c r="M245" s="992"/>
    </row>
    <row r="246" spans="1:13">
      <c r="A246" s="992"/>
      <c r="B246" s="992"/>
      <c r="C246" s="992"/>
      <c r="D246" s="992"/>
      <c r="E246" s="993"/>
      <c r="F246" s="993"/>
      <c r="G246" s="993"/>
      <c r="H246" s="993"/>
      <c r="I246" s="993"/>
      <c r="J246" s="992"/>
      <c r="K246" s="992"/>
      <c r="L246" s="992"/>
      <c r="M246" s="992"/>
    </row>
    <row r="247" spans="1:13">
      <c r="A247" s="992"/>
      <c r="B247" s="992"/>
      <c r="C247" s="992"/>
      <c r="D247" s="992"/>
      <c r="E247" s="993"/>
      <c r="F247" s="993"/>
      <c r="G247" s="993"/>
      <c r="H247" s="993"/>
      <c r="I247" s="993"/>
      <c r="J247" s="992"/>
      <c r="K247" s="992"/>
      <c r="L247" s="992"/>
      <c r="M247" s="992"/>
    </row>
    <row r="248" spans="1:13">
      <c r="A248" s="992"/>
      <c r="B248" s="992"/>
      <c r="C248" s="992"/>
      <c r="D248" s="992"/>
      <c r="E248" s="993"/>
      <c r="F248" s="993"/>
      <c r="G248" s="993"/>
      <c r="H248" s="993"/>
      <c r="I248" s="993"/>
      <c r="J248" s="992"/>
      <c r="K248" s="992"/>
      <c r="L248" s="992"/>
      <c r="M248" s="992"/>
    </row>
    <row r="249" spans="1:13">
      <c r="A249" s="992"/>
      <c r="B249" s="992"/>
      <c r="C249" s="992"/>
      <c r="D249" s="992"/>
      <c r="E249" s="993"/>
      <c r="F249" s="993"/>
      <c r="G249" s="993"/>
      <c r="H249" s="993"/>
      <c r="I249" s="993"/>
      <c r="J249" s="992"/>
      <c r="K249" s="992"/>
      <c r="L249" s="992"/>
      <c r="M249" s="992"/>
    </row>
    <row r="250" spans="1:13">
      <c r="A250" s="992"/>
      <c r="B250" s="992"/>
      <c r="C250" s="992"/>
      <c r="D250" s="992"/>
      <c r="E250" s="993"/>
      <c r="F250" s="993"/>
      <c r="G250" s="993"/>
      <c r="H250" s="993"/>
      <c r="I250" s="993"/>
      <c r="J250" s="992"/>
      <c r="K250" s="992"/>
      <c r="L250" s="992"/>
      <c r="M250" s="992"/>
    </row>
    <row r="251" spans="1:13">
      <c r="A251" s="992"/>
      <c r="B251" s="992"/>
      <c r="C251" s="992"/>
      <c r="D251" s="992"/>
      <c r="E251" s="993"/>
      <c r="F251" s="993"/>
      <c r="G251" s="993"/>
      <c r="H251" s="993"/>
      <c r="I251" s="993"/>
      <c r="J251" s="992"/>
      <c r="K251" s="992"/>
      <c r="L251" s="992"/>
      <c r="M251" s="992"/>
    </row>
    <row r="252" spans="1:13">
      <c r="A252" s="992"/>
      <c r="B252" s="992"/>
      <c r="C252" s="992"/>
      <c r="D252" s="992"/>
      <c r="E252" s="993"/>
      <c r="F252" s="993"/>
      <c r="G252" s="993"/>
      <c r="H252" s="993"/>
      <c r="I252" s="993"/>
      <c r="J252" s="992"/>
      <c r="K252" s="992"/>
      <c r="L252" s="992"/>
      <c r="M252" s="992"/>
    </row>
    <row r="253" spans="1:13">
      <c r="A253" s="992"/>
      <c r="B253" s="992"/>
      <c r="C253" s="992"/>
      <c r="D253" s="992"/>
      <c r="E253" s="993"/>
      <c r="F253" s="993"/>
      <c r="G253" s="993"/>
      <c r="H253" s="993"/>
      <c r="I253" s="993"/>
      <c r="J253" s="992"/>
      <c r="K253" s="992"/>
      <c r="L253" s="992"/>
      <c r="M253" s="992"/>
    </row>
    <row r="254" spans="1:13">
      <c r="A254" s="992"/>
      <c r="B254" s="992"/>
      <c r="C254" s="992"/>
      <c r="D254" s="992"/>
      <c r="E254" s="993"/>
      <c r="F254" s="993"/>
      <c r="G254" s="993"/>
      <c r="H254" s="993"/>
      <c r="I254" s="993"/>
      <c r="J254" s="992"/>
      <c r="K254" s="992"/>
      <c r="L254" s="992"/>
      <c r="M254" s="992"/>
    </row>
    <row r="255" spans="1:13">
      <c r="A255" s="992"/>
      <c r="B255" s="992"/>
      <c r="C255" s="992"/>
      <c r="D255" s="992"/>
      <c r="E255" s="993"/>
      <c r="F255" s="993"/>
      <c r="G255" s="993"/>
      <c r="H255" s="993"/>
      <c r="I255" s="993"/>
      <c r="J255" s="992"/>
      <c r="K255" s="992"/>
      <c r="L255" s="992"/>
      <c r="M255" s="992"/>
    </row>
    <row r="256" spans="1:13">
      <c r="A256" s="992"/>
      <c r="B256" s="992"/>
      <c r="C256" s="992"/>
      <c r="D256" s="992"/>
      <c r="E256" s="993"/>
      <c r="F256" s="993"/>
      <c r="G256" s="993"/>
      <c r="H256" s="993"/>
      <c r="I256" s="993"/>
      <c r="J256" s="992"/>
      <c r="K256" s="992"/>
      <c r="L256" s="992"/>
      <c r="M256" s="992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30" priority="20" stopIfTrue="1" operator="notEqual">
      <formula>0</formula>
    </cfRule>
  </conditionalFormatting>
  <conditionalFormatting sqref="E105:I105">
    <cfRule type="cellIs" dxfId="129" priority="19" stopIfTrue="1" operator="notEqual">
      <formula>0</formula>
    </cfRule>
  </conditionalFormatting>
  <conditionalFormatting sqref="G107:H107 B107">
    <cfRule type="cellIs" dxfId="128" priority="18" stopIfTrue="1" operator="equal">
      <formula>0</formula>
    </cfRule>
  </conditionalFormatting>
  <conditionalFormatting sqref="I114 E110">
    <cfRule type="cellIs" dxfId="127" priority="17" stopIfTrue="1" operator="equal">
      <formula>0</formula>
    </cfRule>
  </conditionalFormatting>
  <conditionalFormatting sqref="E114:F114">
    <cfRule type="cellIs" dxfId="126" priority="16" stopIfTrue="1" operator="equal">
      <formula>0</formula>
    </cfRule>
  </conditionalFormatting>
  <conditionalFormatting sqref="E15">
    <cfRule type="cellIs" dxfId="125" priority="11" stopIfTrue="1" operator="equal">
      <formula>98</formula>
    </cfRule>
    <cfRule type="cellIs" dxfId="124" priority="12" stopIfTrue="1" operator="equal">
      <formula>96</formula>
    </cfRule>
    <cfRule type="cellIs" dxfId="123" priority="13" stopIfTrue="1" operator="equal">
      <formula>42</formula>
    </cfRule>
    <cfRule type="cellIs" dxfId="122" priority="14" stopIfTrue="1" operator="equal">
      <formula>97</formula>
    </cfRule>
    <cfRule type="cellIs" dxfId="121" priority="15" stopIfTrue="1" operator="equal">
      <formula>33</formula>
    </cfRule>
  </conditionalFormatting>
  <conditionalFormatting sqref="F15">
    <cfRule type="cellIs" dxfId="120" priority="6" stopIfTrue="1" operator="equal">
      <formula>"Чужди средства"</formula>
    </cfRule>
    <cfRule type="cellIs" dxfId="119" priority="7" stopIfTrue="1" operator="equal">
      <formula>"СЕС - ДМП"</formula>
    </cfRule>
    <cfRule type="cellIs" dxfId="118" priority="8" stopIfTrue="1" operator="equal">
      <formula>"СЕС - РА"</formula>
    </cfRule>
    <cfRule type="cellIs" dxfId="117" priority="9" stopIfTrue="1" operator="equal">
      <formula>"СЕС - ДЕС"</formula>
    </cfRule>
    <cfRule type="cellIs" dxfId="116" priority="10" stopIfTrue="1" operator="equal">
      <formula>"СЕС - КСФ"</formula>
    </cfRule>
  </conditionalFormatting>
  <conditionalFormatting sqref="B105">
    <cfRule type="cellIs" dxfId="115" priority="5" stopIfTrue="1" operator="notEqual">
      <formula>0</formula>
    </cfRule>
  </conditionalFormatting>
  <conditionalFormatting sqref="I11">
    <cfRule type="cellIs" dxfId="114" priority="1" stopIfTrue="1" operator="between">
      <formula>1000000000000</formula>
      <formula>9999999999999990</formula>
    </cfRule>
    <cfRule type="cellIs" dxfId="113" priority="2" stopIfTrue="1" operator="between">
      <formula>10000000000</formula>
      <formula>999999999999</formula>
    </cfRule>
    <cfRule type="cellIs" dxfId="112" priority="3" stopIfTrue="1" operator="between">
      <formula>1000000</formula>
      <formula>99999999</formula>
    </cfRule>
    <cfRule type="cellIs" dxfId="111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783"/>
  <sheetViews>
    <sheetView tabSelected="1" topLeftCell="B2" zoomScale="80" zoomScaleNormal="80" zoomScaleSheetLayoutView="85" workbookViewId="0">
      <selection activeCell="I656" sqref="I656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2192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5" t="s">
        <v>860</v>
      </c>
      <c r="C3" s="106">
        <v>2025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767" t="s">
        <v>2127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457</v>
      </c>
      <c r="F5" s="103" t="s">
        <v>457</v>
      </c>
      <c r="G5" s="103" t="s">
        <v>457</v>
      </c>
      <c r="H5" s="103" t="s">
        <v>457</v>
      </c>
      <c r="I5" s="103" t="s">
        <v>457</v>
      </c>
      <c r="J5" s="103" t="s">
        <v>457</v>
      </c>
      <c r="K5" s="103" t="s">
        <v>457</v>
      </c>
      <c r="L5" s="103" t="s">
        <v>457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457</v>
      </c>
      <c r="G6" s="103" t="s">
        <v>457</v>
      </c>
      <c r="H6" s="103" t="s">
        <v>457</v>
      </c>
      <c r="I6" s="103" t="s">
        <v>457</v>
      </c>
      <c r="J6" s="103" t="s">
        <v>457</v>
      </c>
      <c r="K6" s="103" t="s">
        <v>457</v>
      </c>
      <c r="L6" s="103" t="s">
        <v>457</v>
      </c>
      <c r="M6" s="7">
        <v>1</v>
      </c>
      <c r="N6" s="108"/>
    </row>
    <row r="7" spans="1:14" ht="15.75" customHeight="1">
      <c r="B7" s="1989" t="str">
        <f>VLOOKUP(E15,SMETKA,2,FALSE)</f>
        <v>ОТЧЕТНИ ДАННИ ПО ЕБК ЗА ИЗПЪЛНЕНИЕТО НА БЮДЖЕТА</v>
      </c>
      <c r="C7" s="1990"/>
      <c r="D7" s="1990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458</v>
      </c>
      <c r="F8" s="113" t="s">
        <v>820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91" t="s">
        <v>2185</v>
      </c>
      <c r="C9" s="1992"/>
      <c r="D9" s="1993"/>
      <c r="E9" s="115">
        <f>DATE($C$3,1,1)</f>
        <v>45658</v>
      </c>
      <c r="F9" s="116">
        <v>46022</v>
      </c>
      <c r="G9" s="113"/>
      <c r="H9" s="1403">
        <v>310531</v>
      </c>
      <c r="I9" s="1923"/>
      <c r="J9" s="1924"/>
      <c r="K9" s="113"/>
      <c r="L9" s="113"/>
      <c r="M9" s="7">
        <v>1</v>
      </c>
      <c r="N9" s="108"/>
    </row>
    <row r="10" spans="1:14">
      <c r="B10" s="117" t="s">
        <v>785</v>
      </c>
      <c r="C10" s="103"/>
      <c r="D10" s="104"/>
      <c r="E10" s="113"/>
      <c r="F10" s="1640" t="str">
        <f>VLOOKUP(F9,DateName,2,FALSE)</f>
        <v>декември</v>
      </c>
      <c r="G10" s="113"/>
      <c r="H10" s="114"/>
      <c r="I10" s="1925" t="s">
        <v>952</v>
      </c>
      <c r="J10" s="1925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926"/>
      <c r="J11" s="1926"/>
      <c r="K11" s="113"/>
      <c r="L11" s="113"/>
      <c r="M11" s="7">
        <v>1</v>
      </c>
      <c r="N11" s="108"/>
    </row>
    <row r="12" spans="1:14" ht="27" customHeight="1">
      <c r="B12" s="1945" t="e">
        <f>VLOOKUP(F12,PRBK,2,FALSE)</f>
        <v>#N/A</v>
      </c>
      <c r="C12" s="1946"/>
      <c r="D12" s="1947"/>
      <c r="E12" s="118" t="s">
        <v>946</v>
      </c>
      <c r="F12" s="1530" t="s">
        <v>2186</v>
      </c>
      <c r="G12" s="113"/>
      <c r="H12" s="114"/>
      <c r="I12" s="1926"/>
      <c r="J12" s="1926"/>
      <c r="K12" s="113"/>
      <c r="L12" s="113"/>
      <c r="M12" s="7">
        <v>1</v>
      </c>
      <c r="N12" s="108"/>
    </row>
    <row r="13" spans="1:14" ht="18" customHeight="1">
      <c r="B13" s="119" t="s">
        <v>786</v>
      </c>
      <c r="C13" s="103"/>
      <c r="D13" s="104"/>
      <c r="E13" s="120"/>
      <c r="F13" s="114"/>
      <c r="G13" s="114" t="s">
        <v>457</v>
      </c>
      <c r="H13" s="121"/>
      <c r="I13" s="122"/>
      <c r="J13" s="123"/>
      <c r="K13" s="123" t="s">
        <v>457</v>
      </c>
      <c r="L13" s="123" t="s">
        <v>457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4" t="s">
        <v>876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645" t="str">
        <f>CONCATENATE("Бланка версия ",$C$4, " от ",$C$3,"г.")</f>
        <v>Бланка версия 1.01 от 2025г.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459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877</v>
      </c>
      <c r="E19" s="1994" t="str">
        <f>CONCATENATE("Уточнен план ", $C$3, " - ПРИХОДИ")</f>
        <v>Уточнен план 2025 - ПРИХОДИ</v>
      </c>
      <c r="F19" s="1995"/>
      <c r="G19" s="1995"/>
      <c r="H19" s="1996"/>
      <c r="I19" s="2000" t="str">
        <f>CONCATENATE("Отчет ", $C$3, " - ПРИХОДИ")</f>
        <v>Отчет 2025 - ПРИХОДИ</v>
      </c>
      <c r="J19" s="2001"/>
      <c r="K19" s="2001"/>
      <c r="L19" s="2002"/>
      <c r="M19" s="7">
        <v>1</v>
      </c>
      <c r="N19" s="108"/>
    </row>
    <row r="20" spans="1:14" ht="49.5" customHeight="1">
      <c r="B20" s="134" t="s">
        <v>62</v>
      </c>
      <c r="C20" s="135" t="s">
        <v>460</v>
      </c>
      <c r="D20" s="136" t="s">
        <v>878</v>
      </c>
      <c r="E20" s="137" t="s">
        <v>947</v>
      </c>
      <c r="F20" s="1395" t="s">
        <v>789</v>
      </c>
      <c r="G20" s="1396" t="s">
        <v>790</v>
      </c>
      <c r="H20" s="1397" t="s">
        <v>788</v>
      </c>
      <c r="I20" s="1541" t="s">
        <v>948</v>
      </c>
      <c r="J20" s="1542" t="s">
        <v>949</v>
      </c>
      <c r="K20" s="1543" t="s">
        <v>950</v>
      </c>
      <c r="L20" s="1404" t="s">
        <v>951</v>
      </c>
      <c r="M20" s="7">
        <v>1</v>
      </c>
      <c r="N20" s="138"/>
    </row>
    <row r="21" spans="1:14" ht="18.75">
      <c r="B21" s="139"/>
      <c r="C21" s="140"/>
      <c r="D21" s="141" t="s">
        <v>461</v>
      </c>
      <c r="E21" s="142" t="s">
        <v>171</v>
      </c>
      <c r="F21" s="143" t="s">
        <v>172</v>
      </c>
      <c r="G21" s="144" t="s">
        <v>703</v>
      </c>
      <c r="H21" s="145" t="s">
        <v>704</v>
      </c>
      <c r="I21" s="143" t="s">
        <v>683</v>
      </c>
      <c r="J21" s="144" t="s">
        <v>853</v>
      </c>
      <c r="K21" s="145" t="s">
        <v>854</v>
      </c>
      <c r="L21" s="1405" t="s">
        <v>855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87" t="s">
        <v>462</v>
      </c>
      <c r="D22" s="1988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463</v>
      </c>
      <c r="E23" s="281">
        <f>F23+G23+H23</f>
        <v>0</v>
      </c>
      <c r="F23" s="482">
        <v>0</v>
      </c>
      <c r="G23" s="483">
        <v>0</v>
      </c>
      <c r="H23" s="154">
        <v>0</v>
      </c>
      <c r="I23" s="482">
        <v>0</v>
      </c>
      <c r="J23" s="483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2050</v>
      </c>
      <c r="E24" s="295">
        <f>F24+G24+H24</f>
        <v>0</v>
      </c>
      <c r="F24" s="484">
        <v>0</v>
      </c>
      <c r="G24" s="485">
        <v>0</v>
      </c>
      <c r="H24" s="160">
        <v>0</v>
      </c>
      <c r="I24" s="484">
        <v>0</v>
      </c>
      <c r="J24" s="485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2051</v>
      </c>
      <c r="E25" s="295">
        <f>F25+G25+H25</f>
        <v>0</v>
      </c>
      <c r="F25" s="484">
        <v>0</v>
      </c>
      <c r="G25" s="159"/>
      <c r="H25" s="160">
        <v>0</v>
      </c>
      <c r="I25" s="484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2052</v>
      </c>
      <c r="E26" s="295">
        <f>F26+G26+H26</f>
        <v>0</v>
      </c>
      <c r="F26" s="484">
        <v>0</v>
      </c>
      <c r="G26" s="485">
        <v>0</v>
      </c>
      <c r="H26" s="160">
        <v>0</v>
      </c>
      <c r="I26" s="484">
        <v>0</v>
      </c>
      <c r="J26" s="485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2053</v>
      </c>
      <c r="E27" s="314">
        <f>F27+G27+H27</f>
        <v>0</v>
      </c>
      <c r="F27" s="1463">
        <v>0</v>
      </c>
      <c r="G27" s="1464">
        <v>0</v>
      </c>
      <c r="H27" s="166">
        <v>0</v>
      </c>
      <c r="I27" s="1463">
        <v>0</v>
      </c>
      <c r="J27" s="1464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87" t="s">
        <v>464</v>
      </c>
      <c r="D28" s="1988"/>
      <c r="E28" s="1364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4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465</v>
      </c>
      <c r="E29" s="281">
        <f t="shared" ref="E29:E93" si="3">F29+G29+H29</f>
        <v>0</v>
      </c>
      <c r="F29" s="482">
        <v>0</v>
      </c>
      <c r="G29" s="483">
        <v>0</v>
      </c>
      <c r="H29" s="154">
        <v>0</v>
      </c>
      <c r="I29" s="482">
        <v>0</v>
      </c>
      <c r="J29" s="483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4">
        <v>0</v>
      </c>
      <c r="G30" s="485">
        <v>0</v>
      </c>
      <c r="H30" s="160">
        <v>0</v>
      </c>
      <c r="I30" s="484">
        <v>0</v>
      </c>
      <c r="J30" s="485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4">
        <v>0</v>
      </c>
      <c r="G31" s="485">
        <v>0</v>
      </c>
      <c r="H31" s="160">
        <v>0</v>
      </c>
      <c r="I31" s="484">
        <v>0</v>
      </c>
      <c r="J31" s="485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86">
        <v>0</v>
      </c>
      <c r="G32" s="487">
        <v>0</v>
      </c>
      <c r="H32" s="175">
        <v>0</v>
      </c>
      <c r="I32" s="486">
        <v>0</v>
      </c>
      <c r="J32" s="487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87" t="s">
        <v>126</v>
      </c>
      <c r="D33" s="1988"/>
      <c r="E33" s="1364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4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2">
        <v>0</v>
      </c>
      <c r="G34" s="483">
        <v>0</v>
      </c>
      <c r="H34" s="154">
        <v>0</v>
      </c>
      <c r="I34" s="482">
        <v>0</v>
      </c>
      <c r="J34" s="483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4">
        <v>0</v>
      </c>
      <c r="G35" s="485">
        <v>0</v>
      </c>
      <c r="H35" s="160">
        <v>0</v>
      </c>
      <c r="I35" s="484">
        <v>0</v>
      </c>
      <c r="J35" s="485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879</v>
      </c>
      <c r="E36" s="295">
        <f t="shared" si="3"/>
        <v>0</v>
      </c>
      <c r="F36" s="484">
        <v>0</v>
      </c>
      <c r="G36" s="485">
        <v>0</v>
      </c>
      <c r="H36" s="160">
        <v>0</v>
      </c>
      <c r="I36" s="484">
        <v>0</v>
      </c>
      <c r="J36" s="485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2054</v>
      </c>
      <c r="E37" s="295">
        <f t="shared" si="3"/>
        <v>0</v>
      </c>
      <c r="F37" s="484">
        <v>0</v>
      </c>
      <c r="G37" s="485">
        <v>0</v>
      </c>
      <c r="H37" s="160">
        <v>0</v>
      </c>
      <c r="I37" s="484">
        <v>0</v>
      </c>
      <c r="J37" s="485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707</v>
      </c>
      <c r="E38" s="287">
        <f t="shared" si="3"/>
        <v>0</v>
      </c>
      <c r="F38" s="486">
        <v>0</v>
      </c>
      <c r="G38" s="487">
        <v>0</v>
      </c>
      <c r="H38" s="175">
        <v>0</v>
      </c>
      <c r="I38" s="486">
        <v>0</v>
      </c>
      <c r="J38" s="487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87" t="s">
        <v>121</v>
      </c>
      <c r="D39" s="1988"/>
      <c r="E39" s="1364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4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2">
        <v>0</v>
      </c>
      <c r="G40" s="483">
        <v>0</v>
      </c>
      <c r="H40" s="154">
        <v>0</v>
      </c>
      <c r="I40" s="482">
        <v>0</v>
      </c>
      <c r="J40" s="483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4">
        <v>0</v>
      </c>
      <c r="G41" s="485">
        <v>0</v>
      </c>
      <c r="H41" s="160">
        <v>0</v>
      </c>
      <c r="I41" s="484">
        <v>0</v>
      </c>
      <c r="J41" s="485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4">
        <v>0</v>
      </c>
      <c r="G42" s="485">
        <v>0</v>
      </c>
      <c r="H42" s="160">
        <v>0</v>
      </c>
      <c r="I42" s="484">
        <v>0</v>
      </c>
      <c r="J42" s="485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4">
        <v>0</v>
      </c>
      <c r="G43" s="485">
        <v>0</v>
      </c>
      <c r="H43" s="160">
        <v>0</v>
      </c>
      <c r="I43" s="484">
        <v>0</v>
      </c>
      <c r="J43" s="485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856</v>
      </c>
      <c r="E44" s="295">
        <f>F44+G44+H44</f>
        <v>0</v>
      </c>
      <c r="F44" s="484">
        <v>0</v>
      </c>
      <c r="G44" s="485">
        <v>0</v>
      </c>
      <c r="H44" s="160">
        <v>0</v>
      </c>
      <c r="I44" s="484">
        <v>0</v>
      </c>
      <c r="J44" s="485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857</v>
      </c>
      <c r="E45" s="295">
        <f>F45+G45+H45</f>
        <v>0</v>
      </c>
      <c r="F45" s="484">
        <v>0</v>
      </c>
      <c r="G45" s="485">
        <v>0</v>
      </c>
      <c r="H45" s="160">
        <v>0</v>
      </c>
      <c r="I45" s="484">
        <v>0</v>
      </c>
      <c r="J45" s="485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880</v>
      </c>
      <c r="E46" s="287">
        <f t="shared" si="3"/>
        <v>0</v>
      </c>
      <c r="F46" s="486">
        <v>0</v>
      </c>
      <c r="G46" s="487">
        <v>0</v>
      </c>
      <c r="H46" s="175">
        <v>0</v>
      </c>
      <c r="I46" s="486">
        <v>0</v>
      </c>
      <c r="J46" s="487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64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4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2">
        <v>0</v>
      </c>
      <c r="G48" s="483">
        <v>0</v>
      </c>
      <c r="H48" s="154">
        <v>0</v>
      </c>
      <c r="I48" s="482">
        <v>0</v>
      </c>
      <c r="J48" s="483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4">
        <v>0</v>
      </c>
      <c r="G49" s="485">
        <v>0</v>
      </c>
      <c r="H49" s="160">
        <v>0</v>
      </c>
      <c r="I49" s="484">
        <v>0</v>
      </c>
      <c r="J49" s="485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4">
        <v>0</v>
      </c>
      <c r="G50" s="485">
        <v>0</v>
      </c>
      <c r="H50" s="160">
        <v>0</v>
      </c>
      <c r="I50" s="484">
        <v>0</v>
      </c>
      <c r="J50" s="485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86">
        <v>0</v>
      </c>
      <c r="G51" s="487">
        <v>0</v>
      </c>
      <c r="H51" s="175">
        <v>0</v>
      </c>
      <c r="I51" s="486">
        <v>0</v>
      </c>
      <c r="J51" s="487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64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4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2">
        <v>0</v>
      </c>
      <c r="G53" s="1661"/>
      <c r="H53" s="154">
        <v>0</v>
      </c>
      <c r="I53" s="482">
        <v>0</v>
      </c>
      <c r="J53" s="1661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4">
        <v>0</v>
      </c>
      <c r="G54" s="1662"/>
      <c r="H54" s="160">
        <v>0</v>
      </c>
      <c r="I54" s="484">
        <v>0</v>
      </c>
      <c r="J54" s="1662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4">
        <v>0</v>
      </c>
      <c r="G55" s="1662"/>
      <c r="H55" s="160">
        <v>0</v>
      </c>
      <c r="I55" s="484">
        <v>0</v>
      </c>
      <c r="J55" s="1662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4">
        <v>0</v>
      </c>
      <c r="G56" s="1662"/>
      <c r="H56" s="160">
        <v>0</v>
      </c>
      <c r="I56" s="484">
        <v>0</v>
      </c>
      <c r="J56" s="1662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86">
        <v>0</v>
      </c>
      <c r="G57" s="1663"/>
      <c r="H57" s="175">
        <v>0</v>
      </c>
      <c r="I57" s="486">
        <v>0</v>
      </c>
      <c r="J57" s="1663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64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4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2">
        <v>0</v>
      </c>
      <c r="G59" s="483">
        <v>0</v>
      </c>
      <c r="H59" s="154">
        <v>0</v>
      </c>
      <c r="I59" s="482">
        <v>0</v>
      </c>
      <c r="J59" s="483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86">
        <v>0</v>
      </c>
      <c r="G60" s="487">
        <v>0</v>
      </c>
      <c r="H60" s="175">
        <v>0</v>
      </c>
      <c r="I60" s="486">
        <v>0</v>
      </c>
      <c r="J60" s="487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64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4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5">
        <v>0</v>
      </c>
      <c r="G62" s="485">
        <v>0</v>
      </c>
      <c r="H62" s="154">
        <v>0</v>
      </c>
      <c r="I62" s="485">
        <v>0</v>
      </c>
      <c r="J62" s="485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5">
        <v>0</v>
      </c>
      <c r="G63" s="485">
        <v>0</v>
      </c>
      <c r="H63" s="175">
        <v>0</v>
      </c>
      <c r="I63" s="485">
        <v>0</v>
      </c>
      <c r="J63" s="485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64">
        <f t="shared" si="3"/>
        <v>0</v>
      </c>
      <c r="F64" s="1465">
        <v>0</v>
      </c>
      <c r="G64" s="1466">
        <v>0</v>
      </c>
      <c r="H64" s="1467">
        <v>0</v>
      </c>
      <c r="I64" s="1465">
        <v>0</v>
      </c>
      <c r="J64" s="1466">
        <v>0</v>
      </c>
      <c r="K64" s="1467">
        <v>0</v>
      </c>
      <c r="L64" s="1364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64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4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5">
        <v>0</v>
      </c>
      <c r="G66" s="485">
        <v>0</v>
      </c>
      <c r="H66" s="154">
        <v>0</v>
      </c>
      <c r="I66" s="485">
        <v>0</v>
      </c>
      <c r="J66" s="485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1977</v>
      </c>
      <c r="E67" s="295">
        <f t="shared" si="3"/>
        <v>0</v>
      </c>
      <c r="F67" s="485">
        <v>0</v>
      </c>
      <c r="G67" s="485">
        <v>0</v>
      </c>
      <c r="H67" s="160">
        <v>0</v>
      </c>
      <c r="I67" s="485">
        <v>0</v>
      </c>
      <c r="J67" s="485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5">
        <v>0</v>
      </c>
      <c r="G68" s="485">
        <v>0</v>
      </c>
      <c r="H68" s="160">
        <v>0</v>
      </c>
      <c r="I68" s="485">
        <v>0</v>
      </c>
      <c r="J68" s="485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2055</v>
      </c>
      <c r="E69" s="295">
        <f t="shared" si="3"/>
        <v>0</v>
      </c>
      <c r="F69" s="485">
        <v>0</v>
      </c>
      <c r="G69" s="485">
        <v>0</v>
      </c>
      <c r="H69" s="160">
        <v>0</v>
      </c>
      <c r="I69" s="485">
        <v>0</v>
      </c>
      <c r="J69" s="485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5">
        <v>0</v>
      </c>
      <c r="G70" s="485">
        <v>0</v>
      </c>
      <c r="H70" s="160">
        <v>0</v>
      </c>
      <c r="I70" s="485">
        <v>0</v>
      </c>
      <c r="J70" s="485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5">
        <v>0</v>
      </c>
      <c r="G71" s="485">
        <v>0</v>
      </c>
      <c r="H71" s="175">
        <v>0</v>
      </c>
      <c r="I71" s="485">
        <v>0</v>
      </c>
      <c r="J71" s="485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1236</v>
      </c>
      <c r="D72" s="183"/>
      <c r="E72" s="1364">
        <f t="shared" si="3"/>
        <v>0</v>
      </c>
      <c r="F72" s="1465">
        <v>0</v>
      </c>
      <c r="G72" s="1466">
        <v>0</v>
      </c>
      <c r="H72" s="1467">
        <v>0</v>
      </c>
      <c r="I72" s="1465">
        <v>0</v>
      </c>
      <c r="J72" s="1466">
        <v>0</v>
      </c>
      <c r="K72" s="1467">
        <v>0</v>
      </c>
      <c r="L72" s="1364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64">
        <f t="shared" si="3"/>
        <v>0</v>
      </c>
      <c r="F73" s="1465">
        <v>0</v>
      </c>
      <c r="G73" s="189"/>
      <c r="H73" s="1467">
        <v>0</v>
      </c>
      <c r="I73" s="1465">
        <v>0</v>
      </c>
      <c r="J73" s="189"/>
      <c r="K73" s="1467">
        <v>0</v>
      </c>
      <c r="L73" s="1364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64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4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4">
        <v>0</v>
      </c>
      <c r="G75" s="153"/>
      <c r="H75" s="154">
        <v>0</v>
      </c>
      <c r="I75" s="484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4">
        <v>0</v>
      </c>
      <c r="G76" s="485">
        <v>0</v>
      </c>
      <c r="H76" s="160">
        <v>0</v>
      </c>
      <c r="I76" s="484">
        <v>0</v>
      </c>
      <c r="J76" s="485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508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509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510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511</v>
      </c>
      <c r="E84" s="295">
        <f t="shared" si="3"/>
        <v>0</v>
      </c>
      <c r="F84" s="484">
        <v>0</v>
      </c>
      <c r="G84" s="485">
        <v>0</v>
      </c>
      <c r="H84" s="160">
        <v>0</v>
      </c>
      <c r="I84" s="484">
        <v>0</v>
      </c>
      <c r="J84" s="485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512</v>
      </c>
      <c r="E85" s="295">
        <f t="shared" si="3"/>
        <v>0</v>
      </c>
      <c r="F85" s="484">
        <v>0</v>
      </c>
      <c r="G85" s="159"/>
      <c r="H85" s="160">
        <v>0</v>
      </c>
      <c r="I85" s="484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513</v>
      </c>
      <c r="E86" s="295">
        <f t="shared" si="3"/>
        <v>0</v>
      </c>
      <c r="F86" s="484">
        <v>0</v>
      </c>
      <c r="G86" s="159"/>
      <c r="H86" s="160">
        <v>0</v>
      </c>
      <c r="I86" s="484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676"/>
      <c r="B87" s="192"/>
      <c r="C87" s="156">
        <v>2417</v>
      </c>
      <c r="D87" s="622" t="s">
        <v>2008</v>
      </c>
      <c r="E87" s="295">
        <f t="shared" si="3"/>
        <v>0</v>
      </c>
      <c r="F87" s="484">
        <v>0</v>
      </c>
      <c r="G87" s="159"/>
      <c r="H87" s="160">
        <v>0</v>
      </c>
      <c r="I87" s="484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514</v>
      </c>
      <c r="E88" s="295">
        <f t="shared" si="3"/>
        <v>0</v>
      </c>
      <c r="F88" s="484">
        <v>0</v>
      </c>
      <c r="G88" s="159"/>
      <c r="H88" s="160">
        <v>0</v>
      </c>
      <c r="I88" s="484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515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516</v>
      </c>
      <c r="D90" s="183"/>
      <c r="E90" s="1364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4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517</v>
      </c>
      <c r="E91" s="281">
        <f t="shared" si="3"/>
        <v>0</v>
      </c>
      <c r="F91" s="152"/>
      <c r="G91" s="1712"/>
      <c r="H91" s="154">
        <v>0</v>
      </c>
      <c r="I91" s="152"/>
      <c r="J91" s="1712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64">
        <f t="shared" si="3"/>
        <v>0</v>
      </c>
      <c r="F93" s="1465">
        <v>0</v>
      </c>
      <c r="G93" s="1466">
        <v>0</v>
      </c>
      <c r="H93" s="1467">
        <v>0</v>
      </c>
      <c r="I93" s="1465">
        <v>0</v>
      </c>
      <c r="J93" s="1466">
        <v>0</v>
      </c>
      <c r="K93" s="1467">
        <v>0</v>
      </c>
      <c r="L93" s="1364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64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4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2166</v>
      </c>
      <c r="E95" s="295">
        <f t="shared" ref="E95:E105" si="18">F95+G95+H95</f>
        <v>0</v>
      </c>
      <c r="F95" s="484">
        <v>0</v>
      </c>
      <c r="G95" s="159"/>
      <c r="H95" s="160">
        <v>0</v>
      </c>
      <c r="I95" s="484">
        <v>0</v>
      </c>
      <c r="J95" s="159"/>
      <c r="K95" s="160">
        <v>0</v>
      </c>
      <c r="L95" s="295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184</v>
      </c>
      <c r="E96" s="295">
        <f t="shared" si="18"/>
        <v>0</v>
      </c>
      <c r="F96" s="484">
        <v>0</v>
      </c>
      <c r="G96" s="159"/>
      <c r="H96" s="160">
        <v>0</v>
      </c>
      <c r="I96" s="484">
        <v>0</v>
      </c>
      <c r="J96" s="159"/>
      <c r="K96" s="160">
        <v>0</v>
      </c>
      <c r="L96" s="295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185</v>
      </c>
      <c r="E97" s="295">
        <f t="shared" si="18"/>
        <v>0</v>
      </c>
      <c r="F97" s="484">
        <v>0</v>
      </c>
      <c r="G97" s="159"/>
      <c r="H97" s="160">
        <v>0</v>
      </c>
      <c r="I97" s="484">
        <v>0</v>
      </c>
      <c r="J97" s="159"/>
      <c r="K97" s="160">
        <v>0</v>
      </c>
      <c r="L97" s="295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186</v>
      </c>
      <c r="E98" s="295">
        <f t="shared" si="18"/>
        <v>0</v>
      </c>
      <c r="F98" s="484">
        <v>0</v>
      </c>
      <c r="G98" s="159"/>
      <c r="H98" s="160">
        <v>0</v>
      </c>
      <c r="I98" s="484">
        <v>0</v>
      </c>
      <c r="J98" s="159"/>
      <c r="K98" s="160">
        <v>0</v>
      </c>
      <c r="L98" s="295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187</v>
      </c>
      <c r="E99" s="295">
        <f t="shared" si="18"/>
        <v>0</v>
      </c>
      <c r="F99" s="484">
        <v>0</v>
      </c>
      <c r="G99" s="159"/>
      <c r="H99" s="160">
        <v>0</v>
      </c>
      <c r="I99" s="484">
        <v>0</v>
      </c>
      <c r="J99" s="159"/>
      <c r="K99" s="160">
        <v>0</v>
      </c>
      <c r="L99" s="295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521</v>
      </c>
      <c r="E100" s="295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5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522</v>
      </c>
      <c r="E101" s="295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5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523</v>
      </c>
      <c r="E102" s="295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524</v>
      </c>
      <c r="E103" s="295">
        <f t="shared" si="18"/>
        <v>0</v>
      </c>
      <c r="F103" s="484">
        <v>0</v>
      </c>
      <c r="G103" s="159"/>
      <c r="H103" s="160">
        <v>0</v>
      </c>
      <c r="I103" s="484">
        <v>0</v>
      </c>
      <c r="J103" s="159"/>
      <c r="K103" s="160">
        <v>0</v>
      </c>
      <c r="L103" s="295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525</v>
      </c>
      <c r="E104" s="295">
        <f t="shared" si="18"/>
        <v>0</v>
      </c>
      <c r="F104" s="484">
        <v>0</v>
      </c>
      <c r="G104" s="159"/>
      <c r="H104" s="160">
        <v>0</v>
      </c>
      <c r="I104" s="484">
        <v>0</v>
      </c>
      <c r="J104" s="159"/>
      <c r="K104" s="160">
        <v>0</v>
      </c>
      <c r="L104" s="295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526</v>
      </c>
      <c r="E105" s="287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7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527</v>
      </c>
      <c r="D106" s="183"/>
      <c r="E106" s="1364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4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528</v>
      </c>
      <c r="E107" s="281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1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529</v>
      </c>
      <c r="E108" s="295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5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255</v>
      </c>
      <c r="E109" s="287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7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847</v>
      </c>
      <c r="D110" s="183"/>
      <c r="E110" s="1364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4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530</v>
      </c>
      <c r="E111" s="281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1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2046</v>
      </c>
      <c r="E112" s="295">
        <f>F112+G112+H112</f>
        <v>0</v>
      </c>
      <c r="F112" s="484">
        <v>0</v>
      </c>
      <c r="G112" s="485">
        <v>0</v>
      </c>
      <c r="H112" s="160">
        <v>0</v>
      </c>
      <c r="I112" s="484">
        <v>0</v>
      </c>
      <c r="J112" s="485">
        <v>0</v>
      </c>
      <c r="K112" s="160">
        <v>0</v>
      </c>
      <c r="L112" s="295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2009</v>
      </c>
      <c r="E113" s="295">
        <f>F113+G113+H113</f>
        <v>0</v>
      </c>
      <c r="F113" s="484">
        <v>0</v>
      </c>
      <c r="G113" s="485">
        <v>0</v>
      </c>
      <c r="H113" s="160">
        <v>0</v>
      </c>
      <c r="I113" s="484">
        <v>0</v>
      </c>
      <c r="J113" s="485">
        <v>0</v>
      </c>
      <c r="K113" s="160">
        <v>0</v>
      </c>
      <c r="L113" s="295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848</v>
      </c>
      <c r="E114" s="295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5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531</v>
      </c>
      <c r="E115" s="295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5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532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881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533</v>
      </c>
      <c r="E118" s="287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7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534</v>
      </c>
      <c r="D119" s="183"/>
      <c r="E119" s="1364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4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535</v>
      </c>
      <c r="E120" s="281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1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536</v>
      </c>
      <c r="E121" s="295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5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537</v>
      </c>
      <c r="E122" s="287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7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882</v>
      </c>
      <c r="D123" s="183"/>
      <c r="E123" s="1364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4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538</v>
      </c>
      <c r="E124" s="281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1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716</v>
      </c>
      <c r="E125" s="295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5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717</v>
      </c>
      <c r="E126" s="295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5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718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719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720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721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722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256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723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724</v>
      </c>
      <c r="E134" s="287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7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725</v>
      </c>
      <c r="D135" s="183"/>
      <c r="E135" s="1364">
        <f t="shared" si="26"/>
        <v>0</v>
      </c>
      <c r="F135" s="1465">
        <v>0</v>
      </c>
      <c r="G135" s="189"/>
      <c r="H135" s="1467">
        <v>0</v>
      </c>
      <c r="I135" s="1465">
        <v>0</v>
      </c>
      <c r="J135" s="189"/>
      <c r="K135" s="1467">
        <v>0</v>
      </c>
      <c r="L135" s="1364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726</v>
      </c>
      <c r="D136" s="183"/>
      <c r="E136" s="1364">
        <f t="shared" si="26"/>
        <v>0</v>
      </c>
      <c r="F136" s="1465">
        <v>0</v>
      </c>
      <c r="G136" s="1698">
        <v>0</v>
      </c>
      <c r="H136" s="1467">
        <v>0</v>
      </c>
      <c r="I136" s="1465">
        <v>0</v>
      </c>
      <c r="J136" s="1698">
        <v>0</v>
      </c>
      <c r="K136" s="1467">
        <v>0</v>
      </c>
      <c r="L136" s="1364">
        <f t="shared" si="27"/>
        <v>0</v>
      </c>
      <c r="M136" s="7" t="str">
        <f t="shared" si="16"/>
        <v/>
      </c>
      <c r="N136" s="155"/>
    </row>
    <row r="137" spans="1:44" s="15" customFormat="1" ht="18.75" hidden="1" customHeight="1">
      <c r="A137" s="22">
        <v>560</v>
      </c>
      <c r="B137" s="167">
        <v>4500</v>
      </c>
      <c r="C137" s="147" t="s">
        <v>328</v>
      </c>
      <c r="D137" s="183"/>
      <c r="E137" s="1364">
        <f t="shared" ref="E137:L137" si="28">SUM(E138:E139)</f>
        <v>0</v>
      </c>
      <c r="F137" s="168">
        <f t="shared" si="28"/>
        <v>0</v>
      </c>
      <c r="G137" s="169">
        <f t="shared" si="28"/>
        <v>0</v>
      </c>
      <c r="H137" s="170">
        <f>SUM(H138:H139)</f>
        <v>0</v>
      </c>
      <c r="I137" s="168">
        <f t="shared" si="28"/>
        <v>0</v>
      </c>
      <c r="J137" s="169">
        <f t="shared" si="28"/>
        <v>0</v>
      </c>
      <c r="K137" s="170">
        <f>SUM(K138:K139)</f>
        <v>0</v>
      </c>
      <c r="L137" s="1364">
        <f t="shared" si="28"/>
        <v>0</v>
      </c>
      <c r="M137" s="7" t="str">
        <f t="shared" si="16"/>
        <v/>
      </c>
      <c r="N137" s="155"/>
    </row>
    <row r="138" spans="1:44" ht="18.75" hidden="1" customHeight="1">
      <c r="A138" s="23">
        <v>565</v>
      </c>
      <c r="B138" s="149"/>
      <c r="C138" s="150">
        <v>4501</v>
      </c>
      <c r="D138" s="202" t="s">
        <v>329</v>
      </c>
      <c r="E138" s="281">
        <f>F138+G138+H138</f>
        <v>0</v>
      </c>
      <c r="F138" s="152"/>
      <c r="G138" s="153"/>
      <c r="H138" s="154">
        <v>0</v>
      </c>
      <c r="I138" s="152"/>
      <c r="J138" s="153"/>
      <c r="K138" s="154">
        <v>0</v>
      </c>
      <c r="L138" s="281">
        <f>I138+J138+K138</f>
        <v>0</v>
      </c>
      <c r="M138" s="7" t="str">
        <f t="shared" si="16"/>
        <v/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330</v>
      </c>
      <c r="E139" s="287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7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331</v>
      </c>
      <c r="D140" s="183"/>
      <c r="E140" s="1364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4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883</v>
      </c>
      <c r="E141" s="281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1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884</v>
      </c>
      <c r="E142" s="295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5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885</v>
      </c>
      <c r="E143" s="295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5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886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887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888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889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890</v>
      </c>
      <c r="E148" s="287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7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1978</v>
      </c>
      <c r="D149" s="183"/>
      <c r="E149" s="1364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4">
        <f t="shared" si="32"/>
        <v>0</v>
      </c>
      <c r="M149" s="7" t="str">
        <f t="shared" si="16"/>
        <v/>
      </c>
      <c r="N149" s="155"/>
    </row>
    <row r="150" spans="1:14" ht="31.5" hidden="1">
      <c r="A150" s="23">
        <v>580</v>
      </c>
      <c r="B150" s="149"/>
      <c r="C150" s="150">
        <v>4743</v>
      </c>
      <c r="D150" s="204" t="s">
        <v>1979</v>
      </c>
      <c r="E150" s="281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1">
        <f t="shared" ref="L150:L157" si="34">I150+J150+K150</f>
        <v>0</v>
      </c>
      <c r="M150" s="7" t="str">
        <f t="shared" si="16"/>
        <v/>
      </c>
      <c r="N150" s="155"/>
    </row>
    <row r="151" spans="1:14" ht="31.5" hidden="1">
      <c r="A151" s="23">
        <v>585</v>
      </c>
      <c r="B151" s="149"/>
      <c r="C151" s="156">
        <v>4744</v>
      </c>
      <c r="D151" s="196" t="s">
        <v>1980</v>
      </c>
      <c r="E151" s="295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5">
        <f t="shared" si="34"/>
        <v>0</v>
      </c>
      <c r="M151" s="7" t="str">
        <f t="shared" si="16"/>
        <v/>
      </c>
      <c r="N151" s="155"/>
    </row>
    <row r="152" spans="1:14" ht="31.5" hidden="1">
      <c r="A152" s="23">
        <v>590</v>
      </c>
      <c r="B152" s="149"/>
      <c r="C152" s="156">
        <v>4745</v>
      </c>
      <c r="D152" s="196" t="s">
        <v>1981</v>
      </c>
      <c r="E152" s="295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5">
        <f t="shared" si="34"/>
        <v>0</v>
      </c>
      <c r="M152" s="7" t="str">
        <f t="shared" si="16"/>
        <v/>
      </c>
      <c r="N152" s="155"/>
    </row>
    <row r="153" spans="1:14" ht="31.5" hidden="1">
      <c r="A153" s="23">
        <v>595</v>
      </c>
      <c r="B153" s="149"/>
      <c r="C153" s="156">
        <v>4749</v>
      </c>
      <c r="D153" s="196" t="s">
        <v>1982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600</v>
      </c>
      <c r="B154" s="149"/>
      <c r="C154" s="156">
        <v>4751</v>
      </c>
      <c r="D154" s="196" t="s">
        <v>1983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605</v>
      </c>
      <c r="B155" s="149"/>
      <c r="C155" s="156">
        <v>4752</v>
      </c>
      <c r="D155" s="196" t="s">
        <v>1984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5" hidden="1">
      <c r="A156" s="23">
        <v>610</v>
      </c>
      <c r="B156" s="149"/>
      <c r="C156" s="156">
        <v>4753</v>
      </c>
      <c r="D156" s="196" t="s">
        <v>1985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35"/>
        <v/>
      </c>
      <c r="N156" s="155"/>
    </row>
    <row r="157" spans="1:14" ht="31.5" hidden="1">
      <c r="A157" s="23">
        <v>615</v>
      </c>
      <c r="B157" s="149"/>
      <c r="C157" s="162">
        <v>4759</v>
      </c>
      <c r="D157" s="205" t="s">
        <v>1986</v>
      </c>
      <c r="E157" s="287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7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258</v>
      </c>
      <c r="D158" s="183"/>
      <c r="E158" s="1364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4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259</v>
      </c>
      <c r="E159" s="281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1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891</v>
      </c>
      <c r="E160" s="295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5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260</v>
      </c>
      <c r="E161" s="295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5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31.5" hidden="1">
      <c r="A163" s="23">
        <v>600</v>
      </c>
      <c r="B163" s="149"/>
      <c r="C163" s="156">
        <v>4850</v>
      </c>
      <c r="D163" s="196" t="s">
        <v>262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31.5" hidden="1">
      <c r="A164" s="23">
        <v>605</v>
      </c>
      <c r="B164" s="149"/>
      <c r="C164" s="156">
        <v>4860</v>
      </c>
      <c r="D164" s="196" t="s">
        <v>263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610</v>
      </c>
      <c r="B165" s="149"/>
      <c r="C165" s="156">
        <v>4870</v>
      </c>
      <c r="D165" s="196" t="s">
        <v>264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615</v>
      </c>
      <c r="B166" s="206"/>
      <c r="C166" s="179">
        <v>4880</v>
      </c>
      <c r="D166" s="205" t="s">
        <v>265</v>
      </c>
      <c r="E166" s="287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7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892</v>
      </c>
      <c r="C167" s="208" t="s">
        <v>727</v>
      </c>
      <c r="D167" s="209" t="s">
        <v>893</v>
      </c>
      <c r="E167" s="210">
        <f t="shared" ref="E167:L167" si="39">SUM(E22,E28,E33,E39,E47,E52,E58,E61,E64,E65,E72,E73,E74,E90,E93,E94,E106,E110,E119,E123,E135,E136,E137,E140,E149,E158)</f>
        <v>0</v>
      </c>
      <c r="F167" s="211">
        <f t="shared" si="39"/>
        <v>0</v>
      </c>
      <c r="G167" s="212">
        <f t="shared" si="39"/>
        <v>0</v>
      </c>
      <c r="H167" s="213">
        <f t="shared" si="39"/>
        <v>0</v>
      </c>
      <c r="I167" s="211">
        <f t="shared" si="39"/>
        <v>0</v>
      </c>
      <c r="J167" s="212">
        <f t="shared" si="39"/>
        <v>0</v>
      </c>
      <c r="K167" s="213">
        <f t="shared" si="39"/>
        <v>0</v>
      </c>
      <c r="L167" s="210">
        <f t="shared" si="39"/>
        <v>0</v>
      </c>
      <c r="M167" s="7">
        <v>1</v>
      </c>
      <c r="N167" s="155"/>
    </row>
    <row r="168" spans="1:14" ht="41.25" customHeight="1" thickTop="1">
      <c r="A168" s="1672">
        <v>113</v>
      </c>
      <c r="B168" s="1673"/>
      <c r="C168" s="1672"/>
      <c r="D168" s="1674" t="s">
        <v>1987</v>
      </c>
      <c r="E168" s="1659">
        <v>0</v>
      </c>
      <c r="F168" s="1659">
        <v>0</v>
      </c>
      <c r="G168" s="159"/>
      <c r="H168" s="1660">
        <v>0</v>
      </c>
      <c r="I168" s="1659">
        <v>0</v>
      </c>
      <c r="J168" s="159"/>
      <c r="K168" s="1660">
        <v>0</v>
      </c>
      <c r="L168" s="1660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85" t="str">
        <f>$B$7</f>
        <v>ОТЧЕТНИ ДАННИ ПО ЕБК ЗА ИЗПЪЛНЕНИЕТО НА БЮДЖЕТА</v>
      </c>
      <c r="C174" s="1986"/>
      <c r="D174" s="1986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458</v>
      </c>
      <c r="F175" s="225" t="s">
        <v>820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952" t="str">
        <f>$B$9</f>
        <v>ДЕТСКА ГРАДИНА „СЛЪНЦЕ”</v>
      </c>
      <c r="C176" s="1953"/>
      <c r="D176" s="1954"/>
      <c r="E176" s="115">
        <f>$E$9</f>
        <v>45658</v>
      </c>
      <c r="F176" s="226">
        <f>$F$9</f>
        <v>46022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45" t="e">
        <f>$B$12</f>
        <v>#N/A</v>
      </c>
      <c r="C179" s="1946"/>
      <c r="D179" s="1947"/>
      <c r="E179" s="231" t="s">
        <v>875</v>
      </c>
      <c r="F179" s="232" t="str">
        <f>$F$12</f>
        <v>1201341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876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">
        <v>459</v>
      </c>
      <c r="I182" s="244"/>
      <c r="J182" s="244"/>
      <c r="K182" s="244"/>
      <c r="L182" s="1365" t="s">
        <v>459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728</v>
      </c>
      <c r="E183" s="1994" t="str">
        <f>CONCATENATE("Уточнен план ", $C$3, " - РАЗХОДИ - рекапитулация")</f>
        <v>Уточнен план 2025 - РАЗХОДИ - рекапитулация</v>
      </c>
      <c r="F183" s="1995"/>
      <c r="G183" s="1995"/>
      <c r="H183" s="1996"/>
      <c r="I183" s="2003" t="str">
        <f>CONCATENATE("Отчет ",$C$3, " - РАЗХОДИ - рекапитулация")</f>
        <v>Отчет 2025 - РАЗХОДИ - рекапитулация</v>
      </c>
      <c r="J183" s="2004"/>
      <c r="K183" s="2004"/>
      <c r="L183" s="2005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460</v>
      </c>
      <c r="D184" s="252" t="s">
        <v>664</v>
      </c>
      <c r="E184" s="137" t="str">
        <f t="shared" ref="E184:L185" si="40">E20</f>
        <v>Уточнен план                Общо</v>
      </c>
      <c r="F184" s="1395" t="str">
        <f t="shared" si="40"/>
        <v>държавни дейности</v>
      </c>
      <c r="G184" s="1396" t="str">
        <f t="shared" si="40"/>
        <v>местни дейности</v>
      </c>
      <c r="H184" s="1397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.75">
      <c r="B185" s="258"/>
      <c r="C185" s="259"/>
      <c r="D185" s="260" t="s">
        <v>729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983" t="s">
        <v>730</v>
      </c>
      <c r="D187" s="1984"/>
      <c r="E187" s="273">
        <f t="shared" ref="E187:L187" si="41">SUMIF($B$610:$B$19581,$B187,E$610:E$19581)</f>
        <v>0</v>
      </c>
      <c r="F187" s="274">
        <f t="shared" si="41"/>
        <v>0</v>
      </c>
      <c r="G187" s="275">
        <f t="shared" si="41"/>
        <v>0</v>
      </c>
      <c r="H187" s="276">
        <f t="shared" si="41"/>
        <v>0</v>
      </c>
      <c r="I187" s="274">
        <f t="shared" si="41"/>
        <v>688218</v>
      </c>
      <c r="J187" s="275">
        <f t="shared" si="41"/>
        <v>0</v>
      </c>
      <c r="K187" s="276">
        <f t="shared" si="41"/>
        <v>0</v>
      </c>
      <c r="L187" s="273">
        <f t="shared" si="41"/>
        <v>688218</v>
      </c>
      <c r="M187" s="7">
        <f t="shared" ref="M187:M256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731</v>
      </c>
      <c r="E188" s="281">
        <f t="shared" ref="E188:L189" si="43">SUMIF($C$610:$C$19581,$C188,E$610:E$19581)</f>
        <v>0</v>
      </c>
      <c r="F188" s="282">
        <f t="shared" si="43"/>
        <v>0</v>
      </c>
      <c r="G188" s="283">
        <f t="shared" si="43"/>
        <v>0</v>
      </c>
      <c r="H188" s="284">
        <f t="shared" si="43"/>
        <v>0</v>
      </c>
      <c r="I188" s="282">
        <f t="shared" si="43"/>
        <v>688218</v>
      </c>
      <c r="J188" s="283">
        <f t="shared" si="43"/>
        <v>0</v>
      </c>
      <c r="K188" s="284">
        <f t="shared" si="43"/>
        <v>0</v>
      </c>
      <c r="L188" s="281">
        <f t="shared" si="43"/>
        <v>688218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732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979" t="s">
        <v>733</v>
      </c>
      <c r="D190" s="1980"/>
      <c r="E190" s="273">
        <f t="shared" ref="E190:L190" si="44">SUMIF($B$610:$B$19581,$B190,E$610:E$19581)</f>
        <v>0</v>
      </c>
      <c r="F190" s="274">
        <f t="shared" si="44"/>
        <v>0</v>
      </c>
      <c r="G190" s="275">
        <f t="shared" si="44"/>
        <v>0</v>
      </c>
      <c r="H190" s="276">
        <f t="shared" si="44"/>
        <v>0</v>
      </c>
      <c r="I190" s="274">
        <f t="shared" si="44"/>
        <v>38346</v>
      </c>
      <c r="J190" s="275">
        <f t="shared" si="44"/>
        <v>0</v>
      </c>
      <c r="K190" s="276">
        <f t="shared" si="44"/>
        <v>0</v>
      </c>
      <c r="L190" s="273">
        <f t="shared" si="44"/>
        <v>38346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734</v>
      </c>
      <c r="E191" s="281">
        <f t="shared" ref="E191:L195" si="45">SUMIF($C$610:$C$19581,$C191,E$610:E$19581)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735</v>
      </c>
      <c r="E192" s="295">
        <f t="shared" si="45"/>
        <v>0</v>
      </c>
      <c r="F192" s="296">
        <f t="shared" si="45"/>
        <v>0</v>
      </c>
      <c r="G192" s="297">
        <f t="shared" si="45"/>
        <v>0</v>
      </c>
      <c r="H192" s="298">
        <f t="shared" si="45"/>
        <v>0</v>
      </c>
      <c r="I192" s="296">
        <f t="shared" si="45"/>
        <v>23899</v>
      </c>
      <c r="J192" s="297">
        <f t="shared" si="45"/>
        <v>0</v>
      </c>
      <c r="K192" s="298">
        <f t="shared" si="45"/>
        <v>0</v>
      </c>
      <c r="L192" s="295">
        <f t="shared" si="45"/>
        <v>23899</v>
      </c>
      <c r="M192" s="7">
        <f t="shared" si="42"/>
        <v>1</v>
      </c>
      <c r="N192" s="277"/>
    </row>
    <row r="193" spans="1:14" ht="31.5">
      <c r="A193" s="23">
        <v>50</v>
      </c>
      <c r="B193" s="299"/>
      <c r="C193" s="293">
        <v>205</v>
      </c>
      <c r="D193" s="294" t="s">
        <v>586</v>
      </c>
      <c r="E193" s="295">
        <f t="shared" si="45"/>
        <v>0</v>
      </c>
      <c r="F193" s="296">
        <f t="shared" si="45"/>
        <v>0</v>
      </c>
      <c r="G193" s="297">
        <f t="shared" si="45"/>
        <v>0</v>
      </c>
      <c r="H193" s="298">
        <f t="shared" si="45"/>
        <v>0</v>
      </c>
      <c r="I193" s="296">
        <f t="shared" si="45"/>
        <v>14447</v>
      </c>
      <c r="J193" s="297">
        <f t="shared" si="45"/>
        <v>0</v>
      </c>
      <c r="K193" s="298">
        <f t="shared" si="45"/>
        <v>0</v>
      </c>
      <c r="L193" s="295">
        <f t="shared" si="45"/>
        <v>14447</v>
      </c>
      <c r="M193" s="7">
        <f t="shared" si="42"/>
        <v>1</v>
      </c>
      <c r="N193" s="277"/>
    </row>
    <row r="194" spans="1:14" ht="18" hidden="1" customHeight="1">
      <c r="A194" s="23">
        <v>55</v>
      </c>
      <c r="B194" s="299"/>
      <c r="C194" s="293">
        <v>208</v>
      </c>
      <c r="D194" s="300" t="s">
        <v>587</v>
      </c>
      <c r="E194" s="295">
        <f t="shared" si="45"/>
        <v>0</v>
      </c>
      <c r="F194" s="296">
        <f t="shared" si="45"/>
        <v>0</v>
      </c>
      <c r="G194" s="297">
        <f t="shared" si="45"/>
        <v>0</v>
      </c>
      <c r="H194" s="298">
        <f t="shared" si="45"/>
        <v>0</v>
      </c>
      <c r="I194" s="296">
        <f t="shared" si="45"/>
        <v>0</v>
      </c>
      <c r="J194" s="297">
        <f t="shared" si="45"/>
        <v>0</v>
      </c>
      <c r="K194" s="298">
        <f t="shared" si="45"/>
        <v>0</v>
      </c>
      <c r="L194" s="295">
        <f t="shared" si="45"/>
        <v>0</v>
      </c>
      <c r="M194" s="7" t="str">
        <f t="shared" si="42"/>
        <v/>
      </c>
      <c r="N194" s="277"/>
    </row>
    <row r="195" spans="1:14" ht="18" hidden="1" customHeight="1">
      <c r="A195" s="23">
        <v>60</v>
      </c>
      <c r="B195" s="291"/>
      <c r="C195" s="285">
        <v>209</v>
      </c>
      <c r="D195" s="301" t="s">
        <v>588</v>
      </c>
      <c r="E195" s="287">
        <f t="shared" si="45"/>
        <v>0</v>
      </c>
      <c r="F195" s="288">
        <f t="shared" si="45"/>
        <v>0</v>
      </c>
      <c r="G195" s="289">
        <f t="shared" si="45"/>
        <v>0</v>
      </c>
      <c r="H195" s="290">
        <f t="shared" si="45"/>
        <v>0</v>
      </c>
      <c r="I195" s="288">
        <f t="shared" si="45"/>
        <v>0</v>
      </c>
      <c r="J195" s="289">
        <f t="shared" si="45"/>
        <v>0</v>
      </c>
      <c r="K195" s="290">
        <f t="shared" si="45"/>
        <v>0</v>
      </c>
      <c r="L195" s="287">
        <f t="shared" si="45"/>
        <v>0</v>
      </c>
      <c r="M195" s="7" t="str">
        <f t="shared" si="42"/>
        <v/>
      </c>
      <c r="N195" s="277"/>
    </row>
    <row r="196" spans="1:14" s="15" customFormat="1">
      <c r="A196" s="22">
        <v>65</v>
      </c>
      <c r="B196" s="272">
        <v>500</v>
      </c>
      <c r="C196" s="1981" t="s">
        <v>188</v>
      </c>
      <c r="D196" s="1982"/>
      <c r="E196" s="273">
        <f t="shared" ref="E196:L196" si="46">SUMIF($B$610:$B$19581,$B196,E$610:E$19581)</f>
        <v>0</v>
      </c>
      <c r="F196" s="274">
        <f t="shared" si="46"/>
        <v>0</v>
      </c>
      <c r="G196" s="275">
        <f t="shared" si="46"/>
        <v>0</v>
      </c>
      <c r="H196" s="276">
        <f t="shared" si="46"/>
        <v>0</v>
      </c>
      <c r="I196" s="274">
        <f t="shared" si="46"/>
        <v>170033</v>
      </c>
      <c r="J196" s="275">
        <f t="shared" si="46"/>
        <v>0</v>
      </c>
      <c r="K196" s="276">
        <f t="shared" si="46"/>
        <v>0</v>
      </c>
      <c r="L196" s="273">
        <f t="shared" si="46"/>
        <v>170033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189</v>
      </c>
      <c r="E197" s="281">
        <f t="shared" ref="E197:L203" si="47">SUMIF($C$610:$C$19581,$C197,E$610:E$19581)</f>
        <v>0</v>
      </c>
      <c r="F197" s="282">
        <f t="shared" si="47"/>
        <v>0</v>
      </c>
      <c r="G197" s="283">
        <f t="shared" si="47"/>
        <v>0</v>
      </c>
      <c r="H197" s="284">
        <f t="shared" si="47"/>
        <v>0</v>
      </c>
      <c r="I197" s="282">
        <f t="shared" si="47"/>
        <v>92641</v>
      </c>
      <c r="J197" s="283">
        <f t="shared" si="47"/>
        <v>0</v>
      </c>
      <c r="K197" s="284">
        <f t="shared" si="47"/>
        <v>0</v>
      </c>
      <c r="L197" s="281">
        <f t="shared" si="47"/>
        <v>92641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894</v>
      </c>
      <c r="E198" s="295">
        <f t="shared" si="47"/>
        <v>0</v>
      </c>
      <c r="F198" s="296">
        <f t="shared" si="47"/>
        <v>0</v>
      </c>
      <c r="G198" s="297">
        <f t="shared" si="47"/>
        <v>0</v>
      </c>
      <c r="H198" s="298">
        <f t="shared" si="47"/>
        <v>0</v>
      </c>
      <c r="I198" s="296">
        <f t="shared" si="47"/>
        <v>16687</v>
      </c>
      <c r="J198" s="297">
        <f t="shared" si="47"/>
        <v>0</v>
      </c>
      <c r="K198" s="298">
        <f t="shared" si="47"/>
        <v>0</v>
      </c>
      <c r="L198" s="295">
        <f t="shared" si="47"/>
        <v>16687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856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190</v>
      </c>
      <c r="E200" s="295">
        <f t="shared" si="47"/>
        <v>0</v>
      </c>
      <c r="F200" s="296">
        <f t="shared" si="47"/>
        <v>0</v>
      </c>
      <c r="G200" s="297">
        <f t="shared" si="47"/>
        <v>0</v>
      </c>
      <c r="H200" s="298">
        <f t="shared" si="47"/>
        <v>0</v>
      </c>
      <c r="I200" s="296">
        <f t="shared" si="47"/>
        <v>36837</v>
      </c>
      <c r="J200" s="297">
        <f t="shared" si="47"/>
        <v>0</v>
      </c>
      <c r="K200" s="298">
        <f t="shared" si="47"/>
        <v>0</v>
      </c>
      <c r="L200" s="295">
        <f t="shared" si="47"/>
        <v>36837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191</v>
      </c>
      <c r="E201" s="295">
        <f t="shared" si="47"/>
        <v>0</v>
      </c>
      <c r="F201" s="296">
        <f t="shared" si="47"/>
        <v>0</v>
      </c>
      <c r="G201" s="297">
        <f t="shared" si="47"/>
        <v>0</v>
      </c>
      <c r="H201" s="298">
        <f t="shared" si="47"/>
        <v>0</v>
      </c>
      <c r="I201" s="296">
        <f t="shared" si="47"/>
        <v>23868</v>
      </c>
      <c r="J201" s="297">
        <f t="shared" si="47"/>
        <v>0</v>
      </c>
      <c r="K201" s="298">
        <f t="shared" si="47"/>
        <v>0</v>
      </c>
      <c r="L201" s="295">
        <f t="shared" si="47"/>
        <v>23868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858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5" hidden="1">
      <c r="A203" s="23">
        <v>90</v>
      </c>
      <c r="B203" s="291"/>
      <c r="C203" s="308">
        <v>590</v>
      </c>
      <c r="D203" s="309" t="s">
        <v>192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977" t="s">
        <v>193</v>
      </c>
      <c r="D204" s="1978"/>
      <c r="E204" s="310">
        <f t="shared" ref="E204:L205" si="48">SUMIF($B$610:$B$19581,$B204,E$610:E$19581)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979" t="s">
        <v>194</v>
      </c>
      <c r="D205" s="1980"/>
      <c r="E205" s="310">
        <f t="shared" si="48"/>
        <v>0</v>
      </c>
      <c r="F205" s="274">
        <f t="shared" si="48"/>
        <v>0</v>
      </c>
      <c r="G205" s="275">
        <f t="shared" si="48"/>
        <v>0</v>
      </c>
      <c r="H205" s="276">
        <f t="shared" si="48"/>
        <v>0</v>
      </c>
      <c r="I205" s="274">
        <f t="shared" si="48"/>
        <v>146567</v>
      </c>
      <c r="J205" s="275">
        <f t="shared" si="48"/>
        <v>0</v>
      </c>
      <c r="K205" s="276">
        <f t="shared" si="48"/>
        <v>0</v>
      </c>
      <c r="L205" s="310">
        <f t="shared" si="48"/>
        <v>146567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195</v>
      </c>
      <c r="E206" s="281">
        <f t="shared" ref="E206:L215" si="49">SUMIF($C$610:$C$19581,$C206,E$610:E$19581)</f>
        <v>0</v>
      </c>
      <c r="F206" s="282">
        <f t="shared" si="49"/>
        <v>0</v>
      </c>
      <c r="G206" s="283">
        <f t="shared" si="49"/>
        <v>0</v>
      </c>
      <c r="H206" s="284">
        <f t="shared" si="49"/>
        <v>0</v>
      </c>
      <c r="I206" s="327">
        <f t="shared" si="49"/>
        <v>75631</v>
      </c>
      <c r="J206" s="283">
        <f t="shared" si="49"/>
        <v>0</v>
      </c>
      <c r="K206" s="284">
        <f t="shared" si="49"/>
        <v>0</v>
      </c>
      <c r="L206" s="281">
        <f t="shared" si="49"/>
        <v>75631</v>
      </c>
      <c r="M206" s="7">
        <f t="shared" si="42"/>
        <v>1</v>
      </c>
      <c r="N206" s="277"/>
    </row>
    <row r="207" spans="1:14" ht="18.75" customHeight="1">
      <c r="A207" s="23">
        <v>135</v>
      </c>
      <c r="B207" s="292"/>
      <c r="C207" s="293">
        <v>1012</v>
      </c>
      <c r="D207" s="294" t="s">
        <v>196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327">
        <f t="shared" si="49"/>
        <v>156</v>
      </c>
      <c r="J207" s="297">
        <f t="shared" si="49"/>
        <v>0</v>
      </c>
      <c r="K207" s="298">
        <f t="shared" si="49"/>
        <v>0</v>
      </c>
      <c r="L207" s="295">
        <f t="shared" si="49"/>
        <v>156</v>
      </c>
      <c r="M207" s="7">
        <f t="shared" si="42"/>
        <v>1</v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197</v>
      </c>
      <c r="E208" s="295">
        <f t="shared" si="49"/>
        <v>0</v>
      </c>
      <c r="F208" s="296">
        <f t="shared" si="49"/>
        <v>0</v>
      </c>
      <c r="G208" s="297">
        <f t="shared" si="49"/>
        <v>0</v>
      </c>
      <c r="H208" s="298">
        <f t="shared" si="49"/>
        <v>0</v>
      </c>
      <c r="I208" s="327">
        <f t="shared" si="49"/>
        <v>12572</v>
      </c>
      <c r="J208" s="297">
        <f t="shared" si="49"/>
        <v>0</v>
      </c>
      <c r="K208" s="298">
        <f t="shared" si="49"/>
        <v>0</v>
      </c>
      <c r="L208" s="295">
        <f t="shared" si="49"/>
        <v>12572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198</v>
      </c>
      <c r="E209" s="295">
        <f t="shared" si="49"/>
        <v>0</v>
      </c>
      <c r="F209" s="296">
        <f t="shared" si="49"/>
        <v>0</v>
      </c>
      <c r="G209" s="297">
        <f t="shared" si="49"/>
        <v>0</v>
      </c>
      <c r="H209" s="298">
        <f t="shared" si="49"/>
        <v>0</v>
      </c>
      <c r="I209" s="327">
        <f t="shared" si="49"/>
        <v>6778</v>
      </c>
      <c r="J209" s="297">
        <f t="shared" si="49"/>
        <v>0</v>
      </c>
      <c r="K209" s="298">
        <f t="shared" si="49"/>
        <v>0</v>
      </c>
      <c r="L209" s="295">
        <f t="shared" si="49"/>
        <v>6778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199</v>
      </c>
      <c r="E210" s="295">
        <f t="shared" si="49"/>
        <v>0</v>
      </c>
      <c r="F210" s="296">
        <f t="shared" si="49"/>
        <v>0</v>
      </c>
      <c r="G210" s="297">
        <f t="shared" si="49"/>
        <v>0</v>
      </c>
      <c r="H210" s="298">
        <f t="shared" si="49"/>
        <v>0</v>
      </c>
      <c r="I210" s="327">
        <f t="shared" si="49"/>
        <v>8021</v>
      </c>
      <c r="J210" s="297">
        <f t="shared" si="49"/>
        <v>0</v>
      </c>
      <c r="K210" s="298">
        <f t="shared" si="49"/>
        <v>0</v>
      </c>
      <c r="L210" s="295">
        <f t="shared" si="49"/>
        <v>8021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200</v>
      </c>
      <c r="E211" s="314">
        <f t="shared" si="49"/>
        <v>0</v>
      </c>
      <c r="F211" s="315">
        <f t="shared" si="49"/>
        <v>0</v>
      </c>
      <c r="G211" s="316">
        <f t="shared" si="49"/>
        <v>0</v>
      </c>
      <c r="H211" s="317">
        <f t="shared" si="49"/>
        <v>0</v>
      </c>
      <c r="I211" s="327">
        <f t="shared" si="49"/>
        <v>22043</v>
      </c>
      <c r="J211" s="316">
        <f t="shared" si="49"/>
        <v>0</v>
      </c>
      <c r="K211" s="317">
        <f t="shared" si="49"/>
        <v>0</v>
      </c>
      <c r="L211" s="314">
        <f t="shared" si="49"/>
        <v>22043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201</v>
      </c>
      <c r="E212" s="320">
        <f t="shared" si="49"/>
        <v>0</v>
      </c>
      <c r="F212" s="321">
        <f t="shared" si="49"/>
        <v>0</v>
      </c>
      <c r="G212" s="322">
        <f t="shared" si="49"/>
        <v>0</v>
      </c>
      <c r="H212" s="323">
        <f t="shared" si="49"/>
        <v>0</v>
      </c>
      <c r="I212" s="327">
        <f t="shared" si="49"/>
        <v>21236</v>
      </c>
      <c r="J212" s="322">
        <f t="shared" si="49"/>
        <v>0</v>
      </c>
      <c r="K212" s="323">
        <f t="shared" si="49"/>
        <v>0</v>
      </c>
      <c r="L212" s="320">
        <f t="shared" si="49"/>
        <v>21236</v>
      </c>
      <c r="M212" s="7">
        <f t="shared" si="42"/>
        <v>1</v>
      </c>
      <c r="N212" s="277"/>
    </row>
    <row r="213" spans="1:14" ht="18.75" hidden="1" customHeight="1">
      <c r="A213" s="23">
        <v>165</v>
      </c>
      <c r="B213" s="292"/>
      <c r="C213" s="324">
        <v>1030</v>
      </c>
      <c r="D213" s="325" t="s">
        <v>202</v>
      </c>
      <c r="E213" s="326">
        <f t="shared" si="49"/>
        <v>0</v>
      </c>
      <c r="F213" s="327">
        <f t="shared" si="49"/>
        <v>0</v>
      </c>
      <c r="G213" s="328">
        <f t="shared" si="49"/>
        <v>0</v>
      </c>
      <c r="H213" s="329">
        <f t="shared" si="49"/>
        <v>0</v>
      </c>
      <c r="I213" s="327">
        <f t="shared" si="49"/>
        <v>0</v>
      </c>
      <c r="J213" s="328">
        <f t="shared" si="49"/>
        <v>0</v>
      </c>
      <c r="K213" s="329">
        <f t="shared" si="49"/>
        <v>0</v>
      </c>
      <c r="L213" s="326">
        <f t="shared" si="49"/>
        <v>0</v>
      </c>
      <c r="M213" s="7" t="str">
        <f t="shared" si="42"/>
        <v/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203</v>
      </c>
      <c r="E214" s="320">
        <f t="shared" si="49"/>
        <v>0</v>
      </c>
      <c r="F214" s="321">
        <f t="shared" si="49"/>
        <v>0</v>
      </c>
      <c r="G214" s="322">
        <f t="shared" si="49"/>
        <v>0</v>
      </c>
      <c r="H214" s="323">
        <f t="shared" si="49"/>
        <v>0</v>
      </c>
      <c r="I214" s="321">
        <f t="shared" si="49"/>
        <v>130</v>
      </c>
      <c r="J214" s="322">
        <f t="shared" si="49"/>
        <v>0</v>
      </c>
      <c r="K214" s="323">
        <f t="shared" si="49"/>
        <v>0</v>
      </c>
      <c r="L214" s="320">
        <f t="shared" si="49"/>
        <v>130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204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859</v>
      </c>
      <c r="E216" s="326">
        <f t="shared" ref="E216:L222" si="50">SUMIF($C$610:$C$19581,$C216,E$610:E$19581)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hidden="1" customHeight="1">
      <c r="A217" s="23">
        <v>190</v>
      </c>
      <c r="B217" s="292"/>
      <c r="C217" s="318">
        <v>1062</v>
      </c>
      <c r="D217" s="319" t="s">
        <v>205</v>
      </c>
      <c r="E217" s="320">
        <f t="shared" si="50"/>
        <v>0</v>
      </c>
      <c r="F217" s="321">
        <f t="shared" si="50"/>
        <v>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 t="str">
        <f t="shared" si="42"/>
        <v/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787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206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895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299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hidden="1" customHeight="1">
      <c r="A222" s="23">
        <v>215</v>
      </c>
      <c r="B222" s="292"/>
      <c r="C222" s="285">
        <v>1098</v>
      </c>
      <c r="D222" s="339" t="s">
        <v>207</v>
      </c>
      <c r="E222" s="287">
        <f t="shared" si="50"/>
        <v>0</v>
      </c>
      <c r="F222" s="288">
        <f t="shared" si="50"/>
        <v>0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 t="str">
        <f t="shared" si="42"/>
        <v/>
      </c>
      <c r="N222" s="277"/>
    </row>
    <row r="223" spans="1:14" s="15" customFormat="1" hidden="1">
      <c r="A223" s="22">
        <v>220</v>
      </c>
      <c r="B223" s="272">
        <v>1900</v>
      </c>
      <c r="C223" s="1973" t="s">
        <v>266</v>
      </c>
      <c r="D223" s="1974"/>
      <c r="E223" s="310">
        <f t="shared" ref="E223:L223" si="51">SUMIF($B$610:$B$19581,$B223,E$610:E$19581)</f>
        <v>0</v>
      </c>
      <c r="F223" s="274">
        <f t="shared" si="51"/>
        <v>0</v>
      </c>
      <c r="G223" s="275">
        <f t="shared" si="51"/>
        <v>0</v>
      </c>
      <c r="H223" s="276">
        <f t="shared" si="51"/>
        <v>0</v>
      </c>
      <c r="I223" s="274">
        <f t="shared" si="51"/>
        <v>0</v>
      </c>
      <c r="J223" s="275">
        <f t="shared" si="51"/>
        <v>0</v>
      </c>
      <c r="K223" s="276">
        <f t="shared" si="51"/>
        <v>0</v>
      </c>
      <c r="L223" s="310">
        <f t="shared" si="51"/>
        <v>0</v>
      </c>
      <c r="M223" s="7" t="str">
        <f t="shared" si="42"/>
        <v/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896</v>
      </c>
      <c r="E224" s="281">
        <f t="shared" ref="E224:L226" si="52">SUMIF($C$610:$C$19581,$C224,E$610:E$19581)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hidden="1" customHeight="1">
      <c r="A225" s="23">
        <v>230</v>
      </c>
      <c r="B225" s="341"/>
      <c r="C225" s="293">
        <v>1981</v>
      </c>
      <c r="D225" s="342" t="s">
        <v>897</v>
      </c>
      <c r="E225" s="295">
        <f t="shared" si="52"/>
        <v>0</v>
      </c>
      <c r="F225" s="296">
        <f t="shared" si="52"/>
        <v>0</v>
      </c>
      <c r="G225" s="297">
        <f t="shared" si="52"/>
        <v>0</v>
      </c>
      <c r="H225" s="298">
        <f t="shared" si="52"/>
        <v>0</v>
      </c>
      <c r="I225" s="296">
        <f t="shared" si="52"/>
        <v>0</v>
      </c>
      <c r="J225" s="297">
        <f t="shared" si="52"/>
        <v>0</v>
      </c>
      <c r="K225" s="298">
        <f t="shared" si="52"/>
        <v>0</v>
      </c>
      <c r="L225" s="295">
        <f t="shared" si="52"/>
        <v>0</v>
      </c>
      <c r="M225" s="7" t="str">
        <f t="shared" si="42"/>
        <v/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898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973" t="s">
        <v>708</v>
      </c>
      <c r="D227" s="1974"/>
      <c r="E227" s="310">
        <f t="shared" ref="E227:L227" si="53">SUMIF($B$610:$B$19581,$B227,E$610:E$19581)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208</v>
      </c>
      <c r="E228" s="281">
        <f t="shared" ref="E228:L232" si="54">SUMIF($C$610:$C$19581,$C228,E$610:E$19581)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209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210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211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212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973" t="s">
        <v>213</v>
      </c>
      <c r="D233" s="1974"/>
      <c r="E233" s="310">
        <f t="shared" ref="E233:L233" si="55">SUMIF($B$610:$B$19581,$B233,E$610:E$19581)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300</v>
      </c>
      <c r="E234" s="281">
        <f t="shared" ref="E234:L235" si="56">SUMIF($C$610:$C$19581,$C234,E$610:E$19581)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214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973" t="s">
        <v>215</v>
      </c>
      <c r="D236" s="1974"/>
      <c r="E236" s="310">
        <f t="shared" ref="E236:L239" si="57">SUMIF($B$610:$B$19581,$B236,E$610:E$19581)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975" t="s">
        <v>216</v>
      </c>
      <c r="D237" s="1976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975" t="s">
        <v>217</v>
      </c>
      <c r="D238" s="1976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975" t="s">
        <v>1640</v>
      </c>
      <c r="D239" s="1976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ht="18.75" hidden="1" customHeight="1">
      <c r="A240" s="23">
        <v>225</v>
      </c>
      <c r="B240" s="292"/>
      <c r="C240" s="279">
        <v>2810</v>
      </c>
      <c r="D240" s="359" t="s">
        <v>2169</v>
      </c>
      <c r="E240" s="281">
        <f t="shared" ref="E240:L242" si="58">SUMIF($C$610:$C$19581,$C240,E$610:E$19581)</f>
        <v>0</v>
      </c>
      <c r="F240" s="282">
        <f t="shared" si="58"/>
        <v>0</v>
      </c>
      <c r="G240" s="283">
        <f t="shared" si="58"/>
        <v>0</v>
      </c>
      <c r="H240" s="284">
        <f t="shared" si="58"/>
        <v>0</v>
      </c>
      <c r="I240" s="282">
        <f t="shared" si="58"/>
        <v>0</v>
      </c>
      <c r="J240" s="283">
        <f t="shared" si="58"/>
        <v>0</v>
      </c>
      <c r="K240" s="284">
        <f t="shared" si="58"/>
        <v>0</v>
      </c>
      <c r="L240" s="281">
        <f t="shared" si="58"/>
        <v>0</v>
      </c>
      <c r="M240" s="7" t="str">
        <f t="shared" si="42"/>
        <v/>
      </c>
      <c r="N240" s="277"/>
    </row>
    <row r="241" spans="1:14" ht="18.75" hidden="1" customHeight="1">
      <c r="A241" s="23">
        <v>230</v>
      </c>
      <c r="B241" s="341"/>
      <c r="C241" s="293">
        <v>2820</v>
      </c>
      <c r="D241" s="360" t="s">
        <v>2170</v>
      </c>
      <c r="E241" s="295">
        <f t="shared" si="58"/>
        <v>0</v>
      </c>
      <c r="F241" s="296">
        <f t="shared" si="58"/>
        <v>0</v>
      </c>
      <c r="G241" s="297">
        <f t="shared" si="58"/>
        <v>0</v>
      </c>
      <c r="H241" s="298">
        <f t="shared" si="58"/>
        <v>0</v>
      </c>
      <c r="I241" s="296">
        <f t="shared" si="58"/>
        <v>0</v>
      </c>
      <c r="J241" s="297">
        <f t="shared" si="58"/>
        <v>0</v>
      </c>
      <c r="K241" s="298">
        <f t="shared" si="58"/>
        <v>0</v>
      </c>
      <c r="L241" s="295">
        <f t="shared" si="58"/>
        <v>0</v>
      </c>
      <c r="M241" s="7" t="str">
        <f t="shared" si="42"/>
        <v/>
      </c>
      <c r="N241" s="277"/>
    </row>
    <row r="242" spans="1:14" ht="33" hidden="1" customHeight="1">
      <c r="A242" s="23">
        <v>245</v>
      </c>
      <c r="B242" s="292"/>
      <c r="C242" s="285">
        <v>2890</v>
      </c>
      <c r="D242" s="361" t="s">
        <v>2171</v>
      </c>
      <c r="E242" s="287">
        <f t="shared" si="58"/>
        <v>0</v>
      </c>
      <c r="F242" s="288">
        <f t="shared" si="58"/>
        <v>0</v>
      </c>
      <c r="G242" s="289">
        <f t="shared" si="58"/>
        <v>0</v>
      </c>
      <c r="H242" s="290">
        <f t="shared" si="58"/>
        <v>0</v>
      </c>
      <c r="I242" s="288">
        <f t="shared" si="58"/>
        <v>0</v>
      </c>
      <c r="J242" s="289">
        <f t="shared" si="58"/>
        <v>0</v>
      </c>
      <c r="K242" s="290">
        <f t="shared" si="58"/>
        <v>0</v>
      </c>
      <c r="L242" s="287">
        <f t="shared" si="58"/>
        <v>0</v>
      </c>
      <c r="M242" s="7" t="str">
        <f t="shared" si="42"/>
        <v/>
      </c>
      <c r="N242" s="277"/>
    </row>
    <row r="243" spans="1:14" s="15" customFormat="1" ht="16.5" hidden="1" customHeight="1">
      <c r="A243" s="22">
        <v>350</v>
      </c>
      <c r="B243" s="272">
        <v>2900</v>
      </c>
      <c r="C243" s="1973" t="s">
        <v>218</v>
      </c>
      <c r="D243" s="1974"/>
      <c r="E243" s="310">
        <f t="shared" ref="E243:L243" si="59">SUMIF($B$610:$B$19581,$B243,E$610:E$19581)</f>
        <v>0</v>
      </c>
      <c r="F243" s="274">
        <f t="shared" si="59"/>
        <v>0</v>
      </c>
      <c r="G243" s="275">
        <f t="shared" si="59"/>
        <v>0</v>
      </c>
      <c r="H243" s="276">
        <f t="shared" si="59"/>
        <v>0</v>
      </c>
      <c r="I243" s="274">
        <f t="shared" si="59"/>
        <v>0</v>
      </c>
      <c r="J243" s="275">
        <f t="shared" si="59"/>
        <v>0</v>
      </c>
      <c r="K243" s="276">
        <f t="shared" si="59"/>
        <v>0</v>
      </c>
      <c r="L243" s="310">
        <f t="shared" si="59"/>
        <v>0</v>
      </c>
      <c r="M243" s="7" t="str">
        <f t="shared" si="42"/>
        <v/>
      </c>
      <c r="N243" s="277"/>
    </row>
    <row r="244" spans="1:14" ht="18.75" hidden="1" customHeight="1">
      <c r="A244" s="23">
        <v>355</v>
      </c>
      <c r="B244" s="346"/>
      <c r="C244" s="279">
        <v>2910</v>
      </c>
      <c r="D244" s="347" t="s">
        <v>1988</v>
      </c>
      <c r="E244" s="281">
        <f t="shared" ref="E244:L251" si="60">SUMIF($C$610:$C$19581,$C244,E$610:E$19581)</f>
        <v>0</v>
      </c>
      <c r="F244" s="282">
        <f t="shared" si="60"/>
        <v>0</v>
      </c>
      <c r="G244" s="283">
        <f t="shared" si="60"/>
        <v>0</v>
      </c>
      <c r="H244" s="284">
        <f t="shared" si="60"/>
        <v>0</v>
      </c>
      <c r="I244" s="282">
        <f t="shared" si="60"/>
        <v>0</v>
      </c>
      <c r="J244" s="283">
        <f t="shared" si="60"/>
        <v>0</v>
      </c>
      <c r="K244" s="284">
        <f t="shared" si="60"/>
        <v>0</v>
      </c>
      <c r="L244" s="281">
        <f t="shared" si="60"/>
        <v>0</v>
      </c>
      <c r="M244" s="7" t="str">
        <f t="shared" si="42"/>
        <v/>
      </c>
      <c r="N244" s="277"/>
    </row>
    <row r="245" spans="1:14" ht="18.75" hidden="1" customHeight="1">
      <c r="A245" s="23">
        <v>355</v>
      </c>
      <c r="B245" s="346"/>
      <c r="C245" s="279">
        <v>2920</v>
      </c>
      <c r="D245" s="347" t="s">
        <v>219</v>
      </c>
      <c r="E245" s="281">
        <f t="shared" si="60"/>
        <v>0</v>
      </c>
      <c r="F245" s="282">
        <f t="shared" si="60"/>
        <v>0</v>
      </c>
      <c r="G245" s="283">
        <f t="shared" si="60"/>
        <v>0</v>
      </c>
      <c r="H245" s="284">
        <f t="shared" si="60"/>
        <v>0</v>
      </c>
      <c r="I245" s="282">
        <f t="shared" si="60"/>
        <v>0</v>
      </c>
      <c r="J245" s="283">
        <f t="shared" si="60"/>
        <v>0</v>
      </c>
      <c r="K245" s="284">
        <f t="shared" si="60"/>
        <v>0</v>
      </c>
      <c r="L245" s="281">
        <f t="shared" si="60"/>
        <v>0</v>
      </c>
      <c r="M245" s="7" t="str">
        <f t="shared" si="42"/>
        <v/>
      </c>
      <c r="N245" s="277"/>
    </row>
    <row r="246" spans="1:14" ht="31.5" hidden="1">
      <c r="A246" s="23">
        <v>375</v>
      </c>
      <c r="B246" s="346"/>
      <c r="C246" s="324">
        <v>2969</v>
      </c>
      <c r="D246" s="348" t="s">
        <v>220</v>
      </c>
      <c r="E246" s="326">
        <f t="shared" si="60"/>
        <v>0</v>
      </c>
      <c r="F246" s="327">
        <f t="shared" si="60"/>
        <v>0</v>
      </c>
      <c r="G246" s="328">
        <f t="shared" si="60"/>
        <v>0</v>
      </c>
      <c r="H246" s="329">
        <f t="shared" si="60"/>
        <v>0</v>
      </c>
      <c r="I246" s="327">
        <f t="shared" si="60"/>
        <v>0</v>
      </c>
      <c r="J246" s="328">
        <f t="shared" si="60"/>
        <v>0</v>
      </c>
      <c r="K246" s="329">
        <f t="shared" si="60"/>
        <v>0</v>
      </c>
      <c r="L246" s="326">
        <f t="shared" si="60"/>
        <v>0</v>
      </c>
      <c r="M246" s="7" t="str">
        <f t="shared" si="42"/>
        <v/>
      </c>
      <c r="N246" s="277"/>
    </row>
    <row r="247" spans="1:14" ht="31.5" hidden="1">
      <c r="A247" s="23">
        <v>380</v>
      </c>
      <c r="B247" s="346"/>
      <c r="C247" s="349">
        <v>2970</v>
      </c>
      <c r="D247" s="350" t="s">
        <v>221</v>
      </c>
      <c r="E247" s="351">
        <f t="shared" si="60"/>
        <v>0</v>
      </c>
      <c r="F247" s="352">
        <f t="shared" si="60"/>
        <v>0</v>
      </c>
      <c r="G247" s="353">
        <f t="shared" si="60"/>
        <v>0</v>
      </c>
      <c r="H247" s="354">
        <f t="shared" si="60"/>
        <v>0</v>
      </c>
      <c r="I247" s="352">
        <f t="shared" si="60"/>
        <v>0</v>
      </c>
      <c r="J247" s="353">
        <f t="shared" si="60"/>
        <v>0</v>
      </c>
      <c r="K247" s="354">
        <f t="shared" si="60"/>
        <v>0</v>
      </c>
      <c r="L247" s="351">
        <f t="shared" si="60"/>
        <v>0</v>
      </c>
      <c r="M247" s="7" t="str">
        <f t="shared" si="42"/>
        <v/>
      </c>
      <c r="N247" s="330"/>
    </row>
    <row r="248" spans="1:14" ht="18.75" hidden="1" customHeight="1">
      <c r="A248" s="23">
        <v>385</v>
      </c>
      <c r="B248" s="346"/>
      <c r="C248" s="333">
        <v>2989</v>
      </c>
      <c r="D248" s="355" t="s">
        <v>222</v>
      </c>
      <c r="E248" s="335">
        <f t="shared" si="60"/>
        <v>0</v>
      </c>
      <c r="F248" s="336">
        <f t="shared" si="60"/>
        <v>0</v>
      </c>
      <c r="G248" s="337">
        <f t="shared" si="60"/>
        <v>0</v>
      </c>
      <c r="H248" s="338">
        <f t="shared" si="60"/>
        <v>0</v>
      </c>
      <c r="I248" s="336">
        <f t="shared" si="60"/>
        <v>0</v>
      </c>
      <c r="J248" s="337">
        <f t="shared" si="60"/>
        <v>0</v>
      </c>
      <c r="K248" s="338">
        <f t="shared" si="60"/>
        <v>0</v>
      </c>
      <c r="L248" s="335">
        <f t="shared" si="60"/>
        <v>0</v>
      </c>
      <c r="M248" s="7" t="str">
        <f t="shared" si="42"/>
        <v/>
      </c>
      <c r="N248" s="277"/>
    </row>
    <row r="249" spans="1:14" ht="31.5" hidden="1" customHeight="1">
      <c r="A249" s="23">
        <v>390</v>
      </c>
      <c r="B249" s="292"/>
      <c r="C249" s="318">
        <v>2990</v>
      </c>
      <c r="D249" s="356" t="s">
        <v>1989</v>
      </c>
      <c r="E249" s="320">
        <f t="shared" si="60"/>
        <v>0</v>
      </c>
      <c r="F249" s="321">
        <f t="shared" si="60"/>
        <v>0</v>
      </c>
      <c r="G249" s="322">
        <f t="shared" si="60"/>
        <v>0</v>
      </c>
      <c r="H249" s="323">
        <f t="shared" si="60"/>
        <v>0</v>
      </c>
      <c r="I249" s="321">
        <f t="shared" si="60"/>
        <v>0</v>
      </c>
      <c r="J249" s="322">
        <f t="shared" si="60"/>
        <v>0</v>
      </c>
      <c r="K249" s="323">
        <f t="shared" si="60"/>
        <v>0</v>
      </c>
      <c r="L249" s="320">
        <f t="shared" si="60"/>
        <v>0</v>
      </c>
      <c r="M249" s="7" t="str">
        <f t="shared" si="42"/>
        <v/>
      </c>
      <c r="N249" s="277"/>
    </row>
    <row r="250" spans="1:14" ht="18.75" hidden="1" customHeight="1">
      <c r="A250" s="23">
        <v>390</v>
      </c>
      <c r="B250" s="292"/>
      <c r="C250" s="318">
        <v>2991</v>
      </c>
      <c r="D250" s="356" t="s">
        <v>223</v>
      </c>
      <c r="E250" s="320">
        <f t="shared" si="60"/>
        <v>0</v>
      </c>
      <c r="F250" s="321">
        <f t="shared" si="60"/>
        <v>0</v>
      </c>
      <c r="G250" s="322">
        <f t="shared" si="60"/>
        <v>0</v>
      </c>
      <c r="H250" s="323">
        <f t="shared" si="60"/>
        <v>0</v>
      </c>
      <c r="I250" s="321">
        <f t="shared" si="60"/>
        <v>0</v>
      </c>
      <c r="J250" s="322">
        <f t="shared" si="60"/>
        <v>0</v>
      </c>
      <c r="K250" s="323">
        <f t="shared" si="60"/>
        <v>0</v>
      </c>
      <c r="L250" s="320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23">
        <v>395</v>
      </c>
      <c r="B251" s="292"/>
      <c r="C251" s="285">
        <v>2992</v>
      </c>
      <c r="D251" s="357" t="s">
        <v>224</v>
      </c>
      <c r="E251" s="287">
        <f t="shared" si="60"/>
        <v>0</v>
      </c>
      <c r="F251" s="288">
        <f t="shared" si="60"/>
        <v>0</v>
      </c>
      <c r="G251" s="289">
        <f t="shared" si="60"/>
        <v>0</v>
      </c>
      <c r="H251" s="290">
        <f t="shared" si="60"/>
        <v>0</v>
      </c>
      <c r="I251" s="288">
        <f t="shared" si="60"/>
        <v>0</v>
      </c>
      <c r="J251" s="289">
        <f t="shared" si="60"/>
        <v>0</v>
      </c>
      <c r="K251" s="290">
        <f t="shared" si="60"/>
        <v>0</v>
      </c>
      <c r="L251" s="287">
        <f t="shared" si="60"/>
        <v>0</v>
      </c>
      <c r="M251" s="7" t="str">
        <f t="shared" si="42"/>
        <v/>
      </c>
      <c r="N251" s="277"/>
    </row>
    <row r="252" spans="1:14" s="15" customFormat="1" ht="18.75" hidden="1" customHeight="1">
      <c r="A252" s="18">
        <v>397</v>
      </c>
      <c r="B252" s="272">
        <v>3300</v>
      </c>
      <c r="C252" s="358" t="s">
        <v>2038</v>
      </c>
      <c r="D252" s="672"/>
      <c r="E252" s="310">
        <f t="shared" ref="E252:L252" si="61">SUMIF($B$610:$B$19581,$B252,E$610:E$19581)</f>
        <v>0</v>
      </c>
      <c r="F252" s="274">
        <f t="shared" si="61"/>
        <v>0</v>
      </c>
      <c r="G252" s="275">
        <f t="shared" si="61"/>
        <v>0</v>
      </c>
      <c r="H252" s="276">
        <f t="shared" si="61"/>
        <v>0</v>
      </c>
      <c r="I252" s="274">
        <f t="shared" si="61"/>
        <v>0</v>
      </c>
      <c r="J252" s="275">
        <f t="shared" si="61"/>
        <v>0</v>
      </c>
      <c r="K252" s="276">
        <f t="shared" si="61"/>
        <v>0</v>
      </c>
      <c r="L252" s="310">
        <f t="shared" si="61"/>
        <v>0</v>
      </c>
      <c r="M252" s="7" t="str">
        <f t="shared" si="42"/>
        <v/>
      </c>
      <c r="N252" s="277"/>
    </row>
    <row r="253" spans="1:14" ht="18.75" hidden="1" customHeight="1">
      <c r="A253" s="14">
        <v>398</v>
      </c>
      <c r="B253" s="291"/>
      <c r="C253" s="279">
        <v>3301</v>
      </c>
      <c r="D253" s="359" t="s">
        <v>225</v>
      </c>
      <c r="E253" s="281">
        <f t="shared" ref="E253:L257" si="62">SUMIF($C$610:$C$19581,$C253,E$610:E$19581)</f>
        <v>0</v>
      </c>
      <c r="F253" s="282">
        <f t="shared" si="62"/>
        <v>0</v>
      </c>
      <c r="G253" s="283">
        <f t="shared" si="62"/>
        <v>0</v>
      </c>
      <c r="H253" s="284">
        <f t="shared" si="62"/>
        <v>0</v>
      </c>
      <c r="I253" s="282">
        <f t="shared" si="62"/>
        <v>0</v>
      </c>
      <c r="J253" s="283">
        <f t="shared" si="62"/>
        <v>0</v>
      </c>
      <c r="K253" s="284">
        <f t="shared" si="62"/>
        <v>0</v>
      </c>
      <c r="L253" s="281">
        <f t="shared" si="62"/>
        <v>0</v>
      </c>
      <c r="M253" s="7" t="str">
        <f t="shared" si="42"/>
        <v/>
      </c>
      <c r="N253" s="277"/>
    </row>
    <row r="254" spans="1:14" ht="18.75" hidden="1" customHeight="1">
      <c r="A254" s="14">
        <v>399</v>
      </c>
      <c r="B254" s="291"/>
      <c r="C254" s="293">
        <v>3302</v>
      </c>
      <c r="D254" s="360" t="s">
        <v>702</v>
      </c>
      <c r="E254" s="295">
        <f t="shared" si="62"/>
        <v>0</v>
      </c>
      <c r="F254" s="296">
        <f t="shared" si="62"/>
        <v>0</v>
      </c>
      <c r="G254" s="297">
        <f t="shared" si="62"/>
        <v>0</v>
      </c>
      <c r="H254" s="298">
        <f t="shared" si="62"/>
        <v>0</v>
      </c>
      <c r="I254" s="296">
        <f t="shared" si="62"/>
        <v>0</v>
      </c>
      <c r="J254" s="297">
        <f t="shared" si="62"/>
        <v>0</v>
      </c>
      <c r="K254" s="298">
        <f t="shared" si="62"/>
        <v>0</v>
      </c>
      <c r="L254" s="295">
        <f t="shared" si="62"/>
        <v>0</v>
      </c>
      <c r="M254" s="7" t="str">
        <f t="shared" si="42"/>
        <v/>
      </c>
      <c r="N254" s="277"/>
    </row>
    <row r="255" spans="1:14" ht="18.75" hidden="1" customHeight="1">
      <c r="A255" s="14">
        <v>400</v>
      </c>
      <c r="B255" s="291"/>
      <c r="C255" s="293">
        <v>3304</v>
      </c>
      <c r="D255" s="360" t="s">
        <v>226</v>
      </c>
      <c r="E255" s="295">
        <f t="shared" si="62"/>
        <v>0</v>
      </c>
      <c r="F255" s="296">
        <f t="shared" si="62"/>
        <v>0</v>
      </c>
      <c r="G255" s="297">
        <f t="shared" si="62"/>
        <v>0</v>
      </c>
      <c r="H255" s="298">
        <f t="shared" si="62"/>
        <v>0</v>
      </c>
      <c r="I255" s="296">
        <f t="shared" si="62"/>
        <v>0</v>
      </c>
      <c r="J255" s="297">
        <f t="shared" si="62"/>
        <v>0</v>
      </c>
      <c r="K255" s="298">
        <f t="shared" si="62"/>
        <v>0</v>
      </c>
      <c r="L255" s="295">
        <f t="shared" si="62"/>
        <v>0</v>
      </c>
      <c r="M255" s="7" t="str">
        <f t="shared" si="42"/>
        <v/>
      </c>
      <c r="N255" s="277"/>
    </row>
    <row r="256" spans="1:14" ht="32.25" hidden="1" customHeight="1">
      <c r="A256" s="14">
        <v>401</v>
      </c>
      <c r="B256" s="291"/>
      <c r="C256" s="285">
        <v>3306</v>
      </c>
      <c r="D256" s="361" t="s">
        <v>1641</v>
      </c>
      <c r="E256" s="295">
        <f t="shared" si="62"/>
        <v>0</v>
      </c>
      <c r="F256" s="296">
        <f t="shared" si="62"/>
        <v>0</v>
      </c>
      <c r="G256" s="297">
        <f t="shared" si="62"/>
        <v>0</v>
      </c>
      <c r="H256" s="298">
        <f t="shared" si="62"/>
        <v>0</v>
      </c>
      <c r="I256" s="296">
        <f t="shared" si="62"/>
        <v>0</v>
      </c>
      <c r="J256" s="297">
        <f t="shared" si="62"/>
        <v>0</v>
      </c>
      <c r="K256" s="298">
        <f t="shared" si="62"/>
        <v>0</v>
      </c>
      <c r="L256" s="295">
        <f t="shared" si="62"/>
        <v>0</v>
      </c>
      <c r="M256" s="7" t="str">
        <f t="shared" si="42"/>
        <v/>
      </c>
      <c r="N256" s="277"/>
    </row>
    <row r="257" spans="1:14" s="15" customFormat="1" ht="21.75" hidden="1" customHeight="1">
      <c r="A257" s="40">
        <v>404</v>
      </c>
      <c r="B257" s="291"/>
      <c r="C257" s="285">
        <v>3307</v>
      </c>
      <c r="D257" s="361" t="s">
        <v>2049</v>
      </c>
      <c r="E257" s="287">
        <f t="shared" si="62"/>
        <v>0</v>
      </c>
      <c r="F257" s="288">
        <f t="shared" si="62"/>
        <v>0</v>
      </c>
      <c r="G257" s="289">
        <f t="shared" si="62"/>
        <v>0</v>
      </c>
      <c r="H257" s="290">
        <f t="shared" si="62"/>
        <v>0</v>
      </c>
      <c r="I257" s="288">
        <f t="shared" si="62"/>
        <v>0</v>
      </c>
      <c r="J257" s="289">
        <f t="shared" si="62"/>
        <v>0</v>
      </c>
      <c r="K257" s="290">
        <f t="shared" si="62"/>
        <v>0</v>
      </c>
      <c r="L257" s="287">
        <f t="shared" si="62"/>
        <v>0</v>
      </c>
      <c r="M257" s="7" t="str">
        <f t="shared" ref="M257:M303" si="63">(IF($E257&lt;&gt;0,$M$2,IF($L257&lt;&gt;0,$M$2,"")))</f>
        <v/>
      </c>
      <c r="N257" s="277"/>
    </row>
    <row r="258" spans="1:14" s="15" customFormat="1" hidden="1">
      <c r="A258" s="40">
        <v>404</v>
      </c>
      <c r="B258" s="272">
        <v>3900</v>
      </c>
      <c r="C258" s="1973" t="s">
        <v>227</v>
      </c>
      <c r="D258" s="1974"/>
      <c r="E258" s="310">
        <f t="shared" ref="E258:L261" si="64">SUMIF($B$610:$B$19581,$B258,E$610:E$19581)</f>
        <v>0</v>
      </c>
      <c r="F258" s="274">
        <f t="shared" si="64"/>
        <v>0</v>
      </c>
      <c r="G258" s="275">
        <f t="shared" si="64"/>
        <v>0</v>
      </c>
      <c r="H258" s="276">
        <f t="shared" si="64"/>
        <v>0</v>
      </c>
      <c r="I258" s="274">
        <f t="shared" si="64"/>
        <v>0</v>
      </c>
      <c r="J258" s="275">
        <f t="shared" si="64"/>
        <v>0</v>
      </c>
      <c r="K258" s="276">
        <f t="shared" si="64"/>
        <v>0</v>
      </c>
      <c r="L258" s="310">
        <f t="shared" si="64"/>
        <v>0</v>
      </c>
      <c r="M258" s="7" t="str">
        <f t="shared" si="63"/>
        <v/>
      </c>
      <c r="N258" s="277"/>
    </row>
    <row r="259" spans="1:14" s="15" customFormat="1" hidden="1">
      <c r="A259" s="22">
        <v>440</v>
      </c>
      <c r="B259" s="272">
        <v>4000</v>
      </c>
      <c r="C259" s="1973" t="s">
        <v>228</v>
      </c>
      <c r="D259" s="1974"/>
      <c r="E259" s="310">
        <f t="shared" si="64"/>
        <v>0</v>
      </c>
      <c r="F259" s="274">
        <f t="shared" si="64"/>
        <v>0</v>
      </c>
      <c r="G259" s="275">
        <f t="shared" si="64"/>
        <v>0</v>
      </c>
      <c r="H259" s="276">
        <f t="shared" si="64"/>
        <v>0</v>
      </c>
      <c r="I259" s="274">
        <f t="shared" si="64"/>
        <v>0</v>
      </c>
      <c r="J259" s="275">
        <f t="shared" si="64"/>
        <v>0</v>
      </c>
      <c r="K259" s="276">
        <f t="shared" si="64"/>
        <v>0</v>
      </c>
      <c r="L259" s="310">
        <f t="shared" si="64"/>
        <v>0</v>
      </c>
      <c r="M259" s="7" t="str">
        <f t="shared" si="63"/>
        <v/>
      </c>
      <c r="N259" s="277"/>
    </row>
    <row r="260" spans="1:14" s="15" customFormat="1" hidden="1">
      <c r="A260" s="22">
        <v>450</v>
      </c>
      <c r="B260" s="272">
        <v>4100</v>
      </c>
      <c r="C260" s="1973" t="s">
        <v>229</v>
      </c>
      <c r="D260" s="1974"/>
      <c r="E260" s="310">
        <f t="shared" si="64"/>
        <v>0</v>
      </c>
      <c r="F260" s="274">
        <f t="shared" si="64"/>
        <v>0</v>
      </c>
      <c r="G260" s="275">
        <f t="shared" si="64"/>
        <v>0</v>
      </c>
      <c r="H260" s="276">
        <f t="shared" si="64"/>
        <v>0</v>
      </c>
      <c r="I260" s="274">
        <f t="shared" si="64"/>
        <v>0</v>
      </c>
      <c r="J260" s="275">
        <f t="shared" si="64"/>
        <v>0</v>
      </c>
      <c r="K260" s="276">
        <f t="shared" si="64"/>
        <v>0</v>
      </c>
      <c r="L260" s="310">
        <f t="shared" si="64"/>
        <v>0</v>
      </c>
      <c r="M260" s="7" t="str">
        <f t="shared" si="63"/>
        <v/>
      </c>
      <c r="N260" s="277"/>
    </row>
    <row r="261" spans="1:14" s="15" customFormat="1" hidden="1">
      <c r="A261" s="22">
        <v>495</v>
      </c>
      <c r="B261" s="272">
        <v>4200</v>
      </c>
      <c r="C261" s="1973" t="s">
        <v>230</v>
      </c>
      <c r="D261" s="1974"/>
      <c r="E261" s="310">
        <f t="shared" si="64"/>
        <v>0</v>
      </c>
      <c r="F261" s="274">
        <f t="shared" si="64"/>
        <v>0</v>
      </c>
      <c r="G261" s="275">
        <f t="shared" si="64"/>
        <v>0</v>
      </c>
      <c r="H261" s="276">
        <f t="shared" si="64"/>
        <v>0</v>
      </c>
      <c r="I261" s="274">
        <f t="shared" si="64"/>
        <v>0</v>
      </c>
      <c r="J261" s="275">
        <f t="shared" si="64"/>
        <v>0</v>
      </c>
      <c r="K261" s="276">
        <f t="shared" si="64"/>
        <v>0</v>
      </c>
      <c r="L261" s="310">
        <f t="shared" si="64"/>
        <v>0</v>
      </c>
      <c r="M261" s="7" t="str">
        <f t="shared" si="63"/>
        <v/>
      </c>
      <c r="N261" s="277"/>
    </row>
    <row r="262" spans="1:14" ht="18.75" hidden="1" customHeight="1">
      <c r="A262" s="23">
        <v>500</v>
      </c>
      <c r="B262" s="362"/>
      <c r="C262" s="279">
        <v>4201</v>
      </c>
      <c r="D262" s="280" t="s">
        <v>231</v>
      </c>
      <c r="E262" s="281">
        <f t="shared" ref="E262:L267" si="65">SUMIF($C$610:$C$19581,$C262,E$610:E$19581)</f>
        <v>0</v>
      </c>
      <c r="F262" s="282">
        <f t="shared" si="65"/>
        <v>0</v>
      </c>
      <c r="G262" s="283">
        <f t="shared" si="65"/>
        <v>0</v>
      </c>
      <c r="H262" s="284">
        <f t="shared" si="65"/>
        <v>0</v>
      </c>
      <c r="I262" s="282">
        <f t="shared" si="65"/>
        <v>0</v>
      </c>
      <c r="J262" s="283">
        <f t="shared" si="65"/>
        <v>0</v>
      </c>
      <c r="K262" s="284">
        <f t="shared" si="65"/>
        <v>0</v>
      </c>
      <c r="L262" s="281">
        <f t="shared" si="65"/>
        <v>0</v>
      </c>
      <c r="M262" s="7" t="str">
        <f t="shared" si="63"/>
        <v/>
      </c>
      <c r="N262" s="277"/>
    </row>
    <row r="263" spans="1:14" ht="18.75" hidden="1" customHeight="1">
      <c r="A263" s="23">
        <v>505</v>
      </c>
      <c r="B263" s="362"/>
      <c r="C263" s="293">
        <v>4202</v>
      </c>
      <c r="D263" s="363" t="s">
        <v>232</v>
      </c>
      <c r="E263" s="295">
        <f t="shared" si="65"/>
        <v>0</v>
      </c>
      <c r="F263" s="296">
        <f t="shared" si="65"/>
        <v>0</v>
      </c>
      <c r="G263" s="297">
        <f t="shared" si="65"/>
        <v>0</v>
      </c>
      <c r="H263" s="298">
        <f t="shared" si="65"/>
        <v>0</v>
      </c>
      <c r="I263" s="296">
        <f t="shared" si="65"/>
        <v>0</v>
      </c>
      <c r="J263" s="297">
        <f t="shared" si="65"/>
        <v>0</v>
      </c>
      <c r="K263" s="298">
        <f t="shared" si="65"/>
        <v>0</v>
      </c>
      <c r="L263" s="295">
        <f t="shared" si="65"/>
        <v>0</v>
      </c>
      <c r="M263" s="7" t="str">
        <f t="shared" si="63"/>
        <v/>
      </c>
      <c r="N263" s="277"/>
    </row>
    <row r="264" spans="1:14" ht="18.75" hidden="1" customHeight="1">
      <c r="A264" s="23">
        <v>510</v>
      </c>
      <c r="B264" s="362"/>
      <c r="C264" s="293">
        <v>4214</v>
      </c>
      <c r="D264" s="363" t="s">
        <v>233</v>
      </c>
      <c r="E264" s="295">
        <f t="shared" si="65"/>
        <v>0</v>
      </c>
      <c r="F264" s="296">
        <f t="shared" si="65"/>
        <v>0</v>
      </c>
      <c r="G264" s="297">
        <f t="shared" si="65"/>
        <v>0</v>
      </c>
      <c r="H264" s="298">
        <f t="shared" si="65"/>
        <v>0</v>
      </c>
      <c r="I264" s="296">
        <f t="shared" si="65"/>
        <v>0</v>
      </c>
      <c r="J264" s="297">
        <f t="shared" si="65"/>
        <v>0</v>
      </c>
      <c r="K264" s="298">
        <f t="shared" si="65"/>
        <v>0</v>
      </c>
      <c r="L264" s="295">
        <f t="shared" si="65"/>
        <v>0</v>
      </c>
      <c r="M264" s="7" t="str">
        <f t="shared" si="63"/>
        <v/>
      </c>
      <c r="N264" s="277"/>
    </row>
    <row r="265" spans="1:14" ht="18.75" hidden="1" customHeight="1">
      <c r="A265" s="23">
        <v>515</v>
      </c>
      <c r="B265" s="362"/>
      <c r="C265" s="293">
        <v>4217</v>
      </c>
      <c r="D265" s="363" t="s">
        <v>234</v>
      </c>
      <c r="E265" s="295">
        <f t="shared" si="65"/>
        <v>0</v>
      </c>
      <c r="F265" s="296">
        <f t="shared" si="65"/>
        <v>0</v>
      </c>
      <c r="G265" s="297">
        <f t="shared" si="65"/>
        <v>0</v>
      </c>
      <c r="H265" s="298">
        <f t="shared" si="65"/>
        <v>0</v>
      </c>
      <c r="I265" s="296">
        <f t="shared" si="65"/>
        <v>0</v>
      </c>
      <c r="J265" s="297">
        <f t="shared" si="65"/>
        <v>0</v>
      </c>
      <c r="K265" s="298">
        <f t="shared" si="65"/>
        <v>0</v>
      </c>
      <c r="L265" s="295">
        <f t="shared" si="65"/>
        <v>0</v>
      </c>
      <c r="M265" s="7" t="str">
        <f t="shared" si="63"/>
        <v/>
      </c>
      <c r="N265" s="277"/>
    </row>
    <row r="266" spans="1:14" ht="18.75" hidden="1" customHeight="1">
      <c r="A266" s="23">
        <v>520</v>
      </c>
      <c r="B266" s="362"/>
      <c r="C266" s="293">
        <v>4218</v>
      </c>
      <c r="D266" s="294" t="s">
        <v>235</v>
      </c>
      <c r="E266" s="295">
        <f t="shared" si="65"/>
        <v>0</v>
      </c>
      <c r="F266" s="296">
        <f t="shared" si="65"/>
        <v>0</v>
      </c>
      <c r="G266" s="297">
        <f t="shared" si="65"/>
        <v>0</v>
      </c>
      <c r="H266" s="298">
        <f t="shared" si="65"/>
        <v>0</v>
      </c>
      <c r="I266" s="296">
        <f t="shared" si="65"/>
        <v>0</v>
      </c>
      <c r="J266" s="297">
        <f t="shared" si="65"/>
        <v>0</v>
      </c>
      <c r="K266" s="298">
        <f t="shared" si="65"/>
        <v>0</v>
      </c>
      <c r="L266" s="295">
        <f t="shared" si="65"/>
        <v>0</v>
      </c>
      <c r="M266" s="7" t="str">
        <f t="shared" si="63"/>
        <v/>
      </c>
      <c r="N266" s="277"/>
    </row>
    <row r="267" spans="1:14" ht="18.75" hidden="1" customHeight="1">
      <c r="A267" s="23">
        <v>525</v>
      </c>
      <c r="B267" s="362"/>
      <c r="C267" s="285">
        <v>4219</v>
      </c>
      <c r="D267" s="343" t="s">
        <v>236</v>
      </c>
      <c r="E267" s="287">
        <f t="shared" si="65"/>
        <v>0</v>
      </c>
      <c r="F267" s="288">
        <f t="shared" si="65"/>
        <v>0</v>
      </c>
      <c r="G267" s="289">
        <f t="shared" si="65"/>
        <v>0</v>
      </c>
      <c r="H267" s="290">
        <f t="shared" si="65"/>
        <v>0</v>
      </c>
      <c r="I267" s="288">
        <f t="shared" si="65"/>
        <v>0</v>
      </c>
      <c r="J267" s="289">
        <f t="shared" si="65"/>
        <v>0</v>
      </c>
      <c r="K267" s="290">
        <f t="shared" si="65"/>
        <v>0</v>
      </c>
      <c r="L267" s="287">
        <f t="shared" si="65"/>
        <v>0</v>
      </c>
      <c r="M267" s="7" t="str">
        <f t="shared" si="63"/>
        <v/>
      </c>
      <c r="N267" s="277"/>
    </row>
    <row r="268" spans="1:14" s="15" customFormat="1" hidden="1">
      <c r="A268" s="22">
        <v>635</v>
      </c>
      <c r="B268" s="272">
        <v>4300</v>
      </c>
      <c r="C268" s="1973" t="s">
        <v>1645</v>
      </c>
      <c r="D268" s="1974"/>
      <c r="E268" s="310">
        <f t="shared" ref="E268:L268" si="66">SUMIF($B$610:$B$19581,$B268,E$610:E$19581)</f>
        <v>0</v>
      </c>
      <c r="F268" s="274">
        <f t="shared" si="66"/>
        <v>0</v>
      </c>
      <c r="G268" s="275">
        <f t="shared" si="66"/>
        <v>0</v>
      </c>
      <c r="H268" s="276">
        <f t="shared" si="66"/>
        <v>0</v>
      </c>
      <c r="I268" s="274">
        <f t="shared" si="66"/>
        <v>0</v>
      </c>
      <c r="J268" s="275">
        <f t="shared" si="66"/>
        <v>0</v>
      </c>
      <c r="K268" s="276">
        <f t="shared" si="66"/>
        <v>0</v>
      </c>
      <c r="L268" s="310">
        <f t="shared" si="66"/>
        <v>0</v>
      </c>
      <c r="M268" s="7" t="str">
        <f t="shared" si="63"/>
        <v/>
      </c>
      <c r="N268" s="277"/>
    </row>
    <row r="269" spans="1:14" ht="18.75" hidden="1" customHeight="1">
      <c r="A269" s="23">
        <v>640</v>
      </c>
      <c r="B269" s="362"/>
      <c r="C269" s="279">
        <v>4301</v>
      </c>
      <c r="D269" s="311" t="s">
        <v>237</v>
      </c>
      <c r="E269" s="281">
        <f t="shared" ref="E269:L271" si="67">SUMIF($C$610:$C$19581,$C269,E$610:E$19581)</f>
        <v>0</v>
      </c>
      <c r="F269" s="282">
        <f t="shared" si="67"/>
        <v>0</v>
      </c>
      <c r="G269" s="283">
        <f t="shared" si="67"/>
        <v>0</v>
      </c>
      <c r="H269" s="284">
        <f t="shared" si="67"/>
        <v>0</v>
      </c>
      <c r="I269" s="282">
        <f t="shared" si="67"/>
        <v>0</v>
      </c>
      <c r="J269" s="283">
        <f t="shared" si="67"/>
        <v>0</v>
      </c>
      <c r="K269" s="284">
        <f t="shared" si="67"/>
        <v>0</v>
      </c>
      <c r="L269" s="281">
        <f t="shared" si="67"/>
        <v>0</v>
      </c>
      <c r="M269" s="7" t="str">
        <f t="shared" si="63"/>
        <v/>
      </c>
      <c r="N269" s="277"/>
    </row>
    <row r="270" spans="1:14" ht="18.75" hidden="1" customHeight="1">
      <c r="A270" s="23">
        <v>645</v>
      </c>
      <c r="B270" s="362"/>
      <c r="C270" s="293">
        <v>4302</v>
      </c>
      <c r="D270" s="363" t="s">
        <v>238</v>
      </c>
      <c r="E270" s="295">
        <f t="shared" si="67"/>
        <v>0</v>
      </c>
      <c r="F270" s="296">
        <f t="shared" si="67"/>
        <v>0</v>
      </c>
      <c r="G270" s="297">
        <f t="shared" si="67"/>
        <v>0</v>
      </c>
      <c r="H270" s="298">
        <f t="shared" si="67"/>
        <v>0</v>
      </c>
      <c r="I270" s="296">
        <f t="shared" si="67"/>
        <v>0</v>
      </c>
      <c r="J270" s="297">
        <f t="shared" si="67"/>
        <v>0</v>
      </c>
      <c r="K270" s="298">
        <f t="shared" si="67"/>
        <v>0</v>
      </c>
      <c r="L270" s="295">
        <f t="shared" si="67"/>
        <v>0</v>
      </c>
      <c r="M270" s="7" t="str">
        <f t="shared" si="63"/>
        <v/>
      </c>
      <c r="N270" s="277"/>
    </row>
    <row r="271" spans="1:14" ht="18.75" hidden="1" customHeight="1">
      <c r="A271" s="23">
        <v>650</v>
      </c>
      <c r="B271" s="362"/>
      <c r="C271" s="285">
        <v>4309</v>
      </c>
      <c r="D271" s="301" t="s">
        <v>239</v>
      </c>
      <c r="E271" s="287">
        <f t="shared" si="67"/>
        <v>0</v>
      </c>
      <c r="F271" s="288">
        <f t="shared" si="67"/>
        <v>0</v>
      </c>
      <c r="G271" s="289">
        <f t="shared" si="67"/>
        <v>0</v>
      </c>
      <c r="H271" s="290">
        <f t="shared" si="67"/>
        <v>0</v>
      </c>
      <c r="I271" s="288">
        <f t="shared" si="67"/>
        <v>0</v>
      </c>
      <c r="J271" s="289">
        <f t="shared" si="67"/>
        <v>0</v>
      </c>
      <c r="K271" s="290">
        <f t="shared" si="67"/>
        <v>0</v>
      </c>
      <c r="L271" s="287">
        <f t="shared" si="67"/>
        <v>0</v>
      </c>
      <c r="M271" s="7" t="str">
        <f t="shared" si="63"/>
        <v/>
      </c>
      <c r="N271" s="277"/>
    </row>
    <row r="272" spans="1:14" s="15" customFormat="1" hidden="1">
      <c r="A272" s="22">
        <v>655</v>
      </c>
      <c r="B272" s="272">
        <v>4400</v>
      </c>
      <c r="C272" s="1973" t="s">
        <v>1642</v>
      </c>
      <c r="D272" s="1974"/>
      <c r="E272" s="310">
        <f t="shared" ref="E272:L275" si="68">SUMIF($B$610:$B$19581,$B272,E$610:E$19581)</f>
        <v>0</v>
      </c>
      <c r="F272" s="274">
        <f t="shared" si="68"/>
        <v>0</v>
      </c>
      <c r="G272" s="275">
        <f t="shared" si="68"/>
        <v>0</v>
      </c>
      <c r="H272" s="276">
        <f t="shared" si="68"/>
        <v>0</v>
      </c>
      <c r="I272" s="274">
        <f t="shared" si="68"/>
        <v>0</v>
      </c>
      <c r="J272" s="275">
        <f t="shared" si="68"/>
        <v>0</v>
      </c>
      <c r="K272" s="276">
        <f t="shared" si="68"/>
        <v>0</v>
      </c>
      <c r="L272" s="310">
        <f t="shared" si="68"/>
        <v>0</v>
      </c>
      <c r="M272" s="7" t="str">
        <f t="shared" si="63"/>
        <v/>
      </c>
      <c r="N272" s="277"/>
    </row>
    <row r="273" spans="1:14" s="15" customFormat="1" hidden="1">
      <c r="A273" s="22">
        <v>665</v>
      </c>
      <c r="B273" s="272">
        <v>4500</v>
      </c>
      <c r="C273" s="1973" t="s">
        <v>1643</v>
      </c>
      <c r="D273" s="1974"/>
      <c r="E273" s="310">
        <f t="shared" si="68"/>
        <v>0</v>
      </c>
      <c r="F273" s="274">
        <f t="shared" si="68"/>
        <v>0</v>
      </c>
      <c r="G273" s="275">
        <f t="shared" si="68"/>
        <v>0</v>
      </c>
      <c r="H273" s="276">
        <f t="shared" si="68"/>
        <v>0</v>
      </c>
      <c r="I273" s="274">
        <f t="shared" si="68"/>
        <v>0</v>
      </c>
      <c r="J273" s="275">
        <f t="shared" si="68"/>
        <v>0</v>
      </c>
      <c r="K273" s="276">
        <f t="shared" si="68"/>
        <v>0</v>
      </c>
      <c r="L273" s="310">
        <f t="shared" si="68"/>
        <v>0</v>
      </c>
      <c r="M273" s="7" t="str">
        <f t="shared" si="63"/>
        <v/>
      </c>
      <c r="N273" s="277"/>
    </row>
    <row r="274" spans="1:14" s="15" customFormat="1" ht="18.75" hidden="1" customHeight="1">
      <c r="A274" s="22">
        <v>675</v>
      </c>
      <c r="B274" s="272">
        <v>4600</v>
      </c>
      <c r="C274" s="1975" t="s">
        <v>240</v>
      </c>
      <c r="D274" s="1976"/>
      <c r="E274" s="310">
        <f t="shared" si="68"/>
        <v>0</v>
      </c>
      <c r="F274" s="274">
        <f t="shared" si="68"/>
        <v>0</v>
      </c>
      <c r="G274" s="275">
        <f t="shared" si="68"/>
        <v>0</v>
      </c>
      <c r="H274" s="276">
        <f t="shared" si="68"/>
        <v>0</v>
      </c>
      <c r="I274" s="274">
        <f t="shared" si="68"/>
        <v>0</v>
      </c>
      <c r="J274" s="275">
        <f t="shared" si="68"/>
        <v>0</v>
      </c>
      <c r="K274" s="276">
        <f t="shared" si="68"/>
        <v>0</v>
      </c>
      <c r="L274" s="310">
        <f t="shared" si="68"/>
        <v>0</v>
      </c>
      <c r="M274" s="7" t="str">
        <f t="shared" si="63"/>
        <v/>
      </c>
      <c r="N274" s="330"/>
    </row>
    <row r="275" spans="1:14" s="15" customFormat="1" hidden="1">
      <c r="A275" s="22">
        <v>685</v>
      </c>
      <c r="B275" s="272">
        <v>4900</v>
      </c>
      <c r="C275" s="1973" t="s">
        <v>267</v>
      </c>
      <c r="D275" s="1974"/>
      <c r="E275" s="310">
        <f t="shared" si="68"/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3"/>
        <v/>
      </c>
      <c r="N275" s="330"/>
    </row>
    <row r="276" spans="1:14" ht="18.75" hidden="1" customHeight="1">
      <c r="A276" s="23">
        <v>690</v>
      </c>
      <c r="B276" s="362"/>
      <c r="C276" s="279">
        <v>4901</v>
      </c>
      <c r="D276" s="364" t="s">
        <v>268</v>
      </c>
      <c r="E276" s="281">
        <f t="shared" ref="E276:L277" si="69">SUMIF($C$610:$C$19581,$C276,E$610:E$19581)</f>
        <v>0</v>
      </c>
      <c r="F276" s="282">
        <f t="shared" si="69"/>
        <v>0</v>
      </c>
      <c r="G276" s="283">
        <f t="shared" si="69"/>
        <v>0</v>
      </c>
      <c r="H276" s="284">
        <f t="shared" si="69"/>
        <v>0</v>
      </c>
      <c r="I276" s="282">
        <f t="shared" si="69"/>
        <v>0</v>
      </c>
      <c r="J276" s="283">
        <f t="shared" si="69"/>
        <v>0</v>
      </c>
      <c r="K276" s="284">
        <f t="shared" si="69"/>
        <v>0</v>
      </c>
      <c r="L276" s="281">
        <f t="shared" si="69"/>
        <v>0</v>
      </c>
      <c r="M276" s="7" t="str">
        <f t="shared" si="63"/>
        <v/>
      </c>
      <c r="N276" s="330"/>
    </row>
    <row r="277" spans="1:14" ht="18.75" hidden="1" customHeight="1">
      <c r="A277" s="23">
        <v>695</v>
      </c>
      <c r="B277" s="362"/>
      <c r="C277" s="285">
        <v>4902</v>
      </c>
      <c r="D277" s="301" t="s">
        <v>269</v>
      </c>
      <c r="E277" s="287">
        <f t="shared" si="69"/>
        <v>0</v>
      </c>
      <c r="F277" s="288">
        <f t="shared" si="69"/>
        <v>0</v>
      </c>
      <c r="G277" s="289">
        <f t="shared" si="69"/>
        <v>0</v>
      </c>
      <c r="H277" s="290">
        <f t="shared" si="69"/>
        <v>0</v>
      </c>
      <c r="I277" s="288">
        <f t="shared" si="69"/>
        <v>0</v>
      </c>
      <c r="J277" s="289">
        <f t="shared" si="69"/>
        <v>0</v>
      </c>
      <c r="K277" s="290">
        <f t="shared" si="69"/>
        <v>0</v>
      </c>
      <c r="L277" s="287">
        <f t="shared" si="69"/>
        <v>0</v>
      </c>
      <c r="M277" s="7" t="str">
        <f t="shared" si="63"/>
        <v/>
      </c>
      <c r="N277" s="277"/>
    </row>
    <row r="278" spans="1:14" s="41" customFormat="1" hidden="1">
      <c r="A278" s="22">
        <v>700</v>
      </c>
      <c r="B278" s="365">
        <v>5100</v>
      </c>
      <c r="C278" s="1971" t="s">
        <v>241</v>
      </c>
      <c r="D278" s="1972"/>
      <c r="E278" s="310">
        <f t="shared" ref="E278:L279" si="70">SUMIF($B$610:$B$19581,$B278,E$610:E$19581)</f>
        <v>0</v>
      </c>
      <c r="F278" s="274">
        <f t="shared" si="70"/>
        <v>0</v>
      </c>
      <c r="G278" s="275">
        <f t="shared" si="70"/>
        <v>0</v>
      </c>
      <c r="H278" s="276">
        <f t="shared" si="70"/>
        <v>0</v>
      </c>
      <c r="I278" s="274">
        <f t="shared" si="70"/>
        <v>0</v>
      </c>
      <c r="J278" s="275">
        <f t="shared" si="70"/>
        <v>0</v>
      </c>
      <c r="K278" s="276">
        <f t="shared" si="70"/>
        <v>0</v>
      </c>
      <c r="L278" s="310">
        <f t="shared" si="70"/>
        <v>0</v>
      </c>
      <c r="M278" s="7" t="str">
        <f t="shared" si="63"/>
        <v/>
      </c>
      <c r="N278" s="277"/>
    </row>
    <row r="279" spans="1:14" s="41" customFormat="1">
      <c r="A279" s="22">
        <v>710</v>
      </c>
      <c r="B279" s="365">
        <v>5200</v>
      </c>
      <c r="C279" s="1971" t="s">
        <v>242</v>
      </c>
      <c r="D279" s="1972"/>
      <c r="E279" s="310">
        <f t="shared" si="70"/>
        <v>0</v>
      </c>
      <c r="F279" s="274">
        <f t="shared" si="70"/>
        <v>0</v>
      </c>
      <c r="G279" s="275">
        <f t="shared" si="70"/>
        <v>0</v>
      </c>
      <c r="H279" s="276">
        <f t="shared" si="70"/>
        <v>0</v>
      </c>
      <c r="I279" s="274">
        <f t="shared" si="70"/>
        <v>4900</v>
      </c>
      <c r="J279" s="275">
        <f t="shared" si="70"/>
        <v>0</v>
      </c>
      <c r="K279" s="276">
        <f t="shared" si="70"/>
        <v>0</v>
      </c>
      <c r="L279" s="310">
        <f t="shared" si="70"/>
        <v>4900</v>
      </c>
      <c r="M279" s="7">
        <f t="shared" si="63"/>
        <v>1</v>
      </c>
      <c r="N279" s="277"/>
    </row>
    <row r="280" spans="1:14" s="42" customFormat="1" ht="18.75" hidden="1" customHeight="1">
      <c r="A280" s="23">
        <v>715</v>
      </c>
      <c r="B280" s="366"/>
      <c r="C280" s="367">
        <v>5201</v>
      </c>
      <c r="D280" s="368" t="s">
        <v>243</v>
      </c>
      <c r="E280" s="281">
        <f t="shared" ref="E280:L286" si="71">SUMIF($C$610:$C$19581,$C280,E$610:E$19581)</f>
        <v>0</v>
      </c>
      <c r="F280" s="282">
        <f t="shared" si="71"/>
        <v>0</v>
      </c>
      <c r="G280" s="283">
        <f t="shared" si="71"/>
        <v>0</v>
      </c>
      <c r="H280" s="284">
        <f t="shared" si="71"/>
        <v>0</v>
      </c>
      <c r="I280" s="282">
        <f t="shared" si="71"/>
        <v>0</v>
      </c>
      <c r="J280" s="283">
        <f t="shared" si="71"/>
        <v>0</v>
      </c>
      <c r="K280" s="284">
        <f t="shared" si="71"/>
        <v>0</v>
      </c>
      <c r="L280" s="281">
        <f t="shared" si="71"/>
        <v>0</v>
      </c>
      <c r="M280" s="7" t="str">
        <f t="shared" si="63"/>
        <v/>
      </c>
      <c r="N280" s="277"/>
    </row>
    <row r="281" spans="1:14" s="42" customFormat="1" ht="18.75" hidden="1" customHeight="1">
      <c r="A281" s="23">
        <v>720</v>
      </c>
      <c r="B281" s="366"/>
      <c r="C281" s="369">
        <v>5202</v>
      </c>
      <c r="D281" s="370" t="s">
        <v>244</v>
      </c>
      <c r="E281" s="295">
        <f t="shared" si="71"/>
        <v>0</v>
      </c>
      <c r="F281" s="296">
        <f t="shared" si="71"/>
        <v>0</v>
      </c>
      <c r="G281" s="297">
        <f t="shared" si="71"/>
        <v>0</v>
      </c>
      <c r="H281" s="298">
        <f t="shared" si="71"/>
        <v>0</v>
      </c>
      <c r="I281" s="296">
        <f t="shared" si="71"/>
        <v>0</v>
      </c>
      <c r="J281" s="297">
        <f t="shared" si="71"/>
        <v>0</v>
      </c>
      <c r="K281" s="298">
        <f t="shared" si="71"/>
        <v>0</v>
      </c>
      <c r="L281" s="295">
        <f t="shared" si="71"/>
        <v>0</v>
      </c>
      <c r="M281" s="7" t="str">
        <f t="shared" si="63"/>
        <v/>
      </c>
      <c r="N281" s="277"/>
    </row>
    <row r="282" spans="1:14" s="42" customFormat="1" ht="18.75" customHeight="1">
      <c r="A282" s="23">
        <v>725</v>
      </c>
      <c r="B282" s="366"/>
      <c r="C282" s="369">
        <v>5203</v>
      </c>
      <c r="D282" s="370" t="s">
        <v>609</v>
      </c>
      <c r="E282" s="295">
        <f t="shared" si="71"/>
        <v>0</v>
      </c>
      <c r="F282" s="296">
        <f t="shared" si="71"/>
        <v>0</v>
      </c>
      <c r="G282" s="297">
        <f t="shared" si="71"/>
        <v>0</v>
      </c>
      <c r="H282" s="298">
        <f t="shared" si="71"/>
        <v>0</v>
      </c>
      <c r="I282" s="296">
        <f t="shared" si="71"/>
        <v>4900</v>
      </c>
      <c r="J282" s="297">
        <f t="shared" si="71"/>
        <v>0</v>
      </c>
      <c r="K282" s="298">
        <f t="shared" si="71"/>
        <v>0</v>
      </c>
      <c r="L282" s="295">
        <f t="shared" si="71"/>
        <v>4900</v>
      </c>
      <c r="M282" s="7">
        <f t="shared" si="63"/>
        <v>1</v>
      </c>
      <c r="N282" s="277"/>
    </row>
    <row r="283" spans="1:14" s="42" customFormat="1" ht="18.75" hidden="1" customHeight="1">
      <c r="A283" s="23">
        <v>730</v>
      </c>
      <c r="B283" s="366"/>
      <c r="C283" s="369">
        <v>5204</v>
      </c>
      <c r="D283" s="370" t="s">
        <v>610</v>
      </c>
      <c r="E283" s="295">
        <f t="shared" si="71"/>
        <v>0</v>
      </c>
      <c r="F283" s="296">
        <f t="shared" si="71"/>
        <v>0</v>
      </c>
      <c r="G283" s="297">
        <f t="shared" si="71"/>
        <v>0</v>
      </c>
      <c r="H283" s="298">
        <f t="shared" si="71"/>
        <v>0</v>
      </c>
      <c r="I283" s="296">
        <f t="shared" si="71"/>
        <v>0</v>
      </c>
      <c r="J283" s="297">
        <f t="shared" si="71"/>
        <v>0</v>
      </c>
      <c r="K283" s="298">
        <f t="shared" si="71"/>
        <v>0</v>
      </c>
      <c r="L283" s="295">
        <f t="shared" si="71"/>
        <v>0</v>
      </c>
      <c r="M283" s="7" t="str">
        <f t="shared" si="63"/>
        <v/>
      </c>
      <c r="N283" s="277"/>
    </row>
    <row r="284" spans="1:14" s="42" customFormat="1" ht="18.75" hidden="1" customHeight="1">
      <c r="A284" s="23">
        <v>735</v>
      </c>
      <c r="B284" s="366"/>
      <c r="C284" s="369">
        <v>5205</v>
      </c>
      <c r="D284" s="370" t="s">
        <v>611</v>
      </c>
      <c r="E284" s="295">
        <f t="shared" si="71"/>
        <v>0</v>
      </c>
      <c r="F284" s="296">
        <f t="shared" si="71"/>
        <v>0</v>
      </c>
      <c r="G284" s="297">
        <f t="shared" si="71"/>
        <v>0</v>
      </c>
      <c r="H284" s="298">
        <f t="shared" si="71"/>
        <v>0</v>
      </c>
      <c r="I284" s="296">
        <f t="shared" si="71"/>
        <v>0</v>
      </c>
      <c r="J284" s="297">
        <f t="shared" si="71"/>
        <v>0</v>
      </c>
      <c r="K284" s="298">
        <f t="shared" si="71"/>
        <v>0</v>
      </c>
      <c r="L284" s="295">
        <f t="shared" si="71"/>
        <v>0</v>
      </c>
      <c r="M284" s="7" t="str">
        <f t="shared" si="63"/>
        <v/>
      </c>
      <c r="N284" s="277"/>
    </row>
    <row r="285" spans="1:14" s="42" customFormat="1" ht="18.75" hidden="1" customHeight="1">
      <c r="A285" s="23">
        <v>740</v>
      </c>
      <c r="B285" s="366"/>
      <c r="C285" s="369">
        <v>5206</v>
      </c>
      <c r="D285" s="370" t="s">
        <v>612</v>
      </c>
      <c r="E285" s="295">
        <f t="shared" si="71"/>
        <v>0</v>
      </c>
      <c r="F285" s="296">
        <f t="shared" si="71"/>
        <v>0</v>
      </c>
      <c r="G285" s="297">
        <f t="shared" si="71"/>
        <v>0</v>
      </c>
      <c r="H285" s="298">
        <f t="shared" si="71"/>
        <v>0</v>
      </c>
      <c r="I285" s="296">
        <f t="shared" si="71"/>
        <v>0</v>
      </c>
      <c r="J285" s="297">
        <f t="shared" si="71"/>
        <v>0</v>
      </c>
      <c r="K285" s="298">
        <f t="shared" si="71"/>
        <v>0</v>
      </c>
      <c r="L285" s="295">
        <f t="shared" si="71"/>
        <v>0</v>
      </c>
      <c r="M285" s="7" t="str">
        <f t="shared" si="63"/>
        <v/>
      </c>
      <c r="N285" s="277"/>
    </row>
    <row r="286" spans="1:14" s="42" customFormat="1" ht="18.75" hidden="1" customHeight="1">
      <c r="A286" s="23">
        <v>745</v>
      </c>
      <c r="B286" s="366"/>
      <c r="C286" s="371">
        <v>5219</v>
      </c>
      <c r="D286" s="372" t="s">
        <v>613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3"/>
        <v/>
      </c>
      <c r="N286" s="277"/>
    </row>
    <row r="287" spans="1:14" s="41" customFormat="1" hidden="1">
      <c r="A287" s="22">
        <v>750</v>
      </c>
      <c r="B287" s="365">
        <v>5300</v>
      </c>
      <c r="C287" s="1971" t="s">
        <v>614</v>
      </c>
      <c r="D287" s="1972"/>
      <c r="E287" s="310">
        <f t="shared" ref="E287:L287" si="72">SUMIF($B$610:$B$19581,$B287,E$610:E$19581)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3"/>
        <v/>
      </c>
      <c r="N287" s="277"/>
    </row>
    <row r="288" spans="1:14" s="42" customFormat="1" ht="18.75" hidden="1" customHeight="1">
      <c r="A288" s="23">
        <v>755</v>
      </c>
      <c r="B288" s="366"/>
      <c r="C288" s="367">
        <v>5301</v>
      </c>
      <c r="D288" s="368" t="s">
        <v>301</v>
      </c>
      <c r="E288" s="281">
        <f t="shared" ref="E288:L289" si="73">SUMIF($C$610:$C$19581,$C288,E$610:E$19581)</f>
        <v>0</v>
      </c>
      <c r="F288" s="282">
        <f t="shared" si="73"/>
        <v>0</v>
      </c>
      <c r="G288" s="283">
        <f t="shared" si="73"/>
        <v>0</v>
      </c>
      <c r="H288" s="284">
        <f t="shared" si="73"/>
        <v>0</v>
      </c>
      <c r="I288" s="282">
        <f t="shared" si="73"/>
        <v>0</v>
      </c>
      <c r="J288" s="283">
        <f t="shared" si="73"/>
        <v>0</v>
      </c>
      <c r="K288" s="284">
        <f t="shared" si="73"/>
        <v>0</v>
      </c>
      <c r="L288" s="281">
        <f t="shared" si="73"/>
        <v>0</v>
      </c>
      <c r="M288" s="7" t="str">
        <f t="shared" si="63"/>
        <v/>
      </c>
      <c r="N288" s="277"/>
    </row>
    <row r="289" spans="1:56" s="42" customFormat="1" ht="18.75" hidden="1" customHeight="1">
      <c r="A289" s="23">
        <v>760</v>
      </c>
      <c r="B289" s="366"/>
      <c r="C289" s="371">
        <v>5309</v>
      </c>
      <c r="D289" s="372" t="s">
        <v>615</v>
      </c>
      <c r="E289" s="287">
        <f t="shared" si="73"/>
        <v>0</v>
      </c>
      <c r="F289" s="288">
        <f t="shared" si="73"/>
        <v>0</v>
      </c>
      <c r="G289" s="289">
        <f t="shared" si="73"/>
        <v>0</v>
      </c>
      <c r="H289" s="290">
        <f t="shared" si="73"/>
        <v>0</v>
      </c>
      <c r="I289" s="288">
        <f t="shared" si="73"/>
        <v>0</v>
      </c>
      <c r="J289" s="289">
        <f t="shared" si="73"/>
        <v>0</v>
      </c>
      <c r="K289" s="290">
        <f t="shared" si="73"/>
        <v>0</v>
      </c>
      <c r="L289" s="287">
        <f t="shared" si="73"/>
        <v>0</v>
      </c>
      <c r="M289" s="7" t="str">
        <f t="shared" si="63"/>
        <v/>
      </c>
      <c r="N289" s="277"/>
    </row>
    <row r="290" spans="1:56" s="41" customFormat="1" hidden="1">
      <c r="A290" s="22">
        <v>765</v>
      </c>
      <c r="B290" s="365">
        <v>5400</v>
      </c>
      <c r="C290" s="1971" t="s">
        <v>672</v>
      </c>
      <c r="D290" s="1972"/>
      <c r="E290" s="310">
        <f t="shared" ref="E290:L291" si="74">SUMIF($B$610:$B$19581,$B290,E$610:E$19581)</f>
        <v>0</v>
      </c>
      <c r="F290" s="274">
        <f t="shared" si="74"/>
        <v>0</v>
      </c>
      <c r="G290" s="275">
        <f t="shared" si="74"/>
        <v>0</v>
      </c>
      <c r="H290" s="276">
        <f t="shared" si="74"/>
        <v>0</v>
      </c>
      <c r="I290" s="274">
        <f t="shared" si="74"/>
        <v>0</v>
      </c>
      <c r="J290" s="275">
        <f t="shared" si="74"/>
        <v>0</v>
      </c>
      <c r="K290" s="276">
        <f t="shared" si="74"/>
        <v>0</v>
      </c>
      <c r="L290" s="310">
        <f t="shared" si="74"/>
        <v>0</v>
      </c>
      <c r="M290" s="7" t="str">
        <f t="shared" si="63"/>
        <v/>
      </c>
      <c r="N290" s="277"/>
    </row>
    <row r="291" spans="1:56" s="15" customFormat="1" hidden="1">
      <c r="A291" s="22">
        <v>775</v>
      </c>
      <c r="B291" s="272">
        <v>5500</v>
      </c>
      <c r="C291" s="1973" t="s">
        <v>673</v>
      </c>
      <c r="D291" s="1974"/>
      <c r="E291" s="310">
        <f t="shared" si="74"/>
        <v>0</v>
      </c>
      <c r="F291" s="274">
        <f t="shared" si="74"/>
        <v>0</v>
      </c>
      <c r="G291" s="275">
        <f t="shared" si="74"/>
        <v>0</v>
      </c>
      <c r="H291" s="276">
        <f t="shared" si="74"/>
        <v>0</v>
      </c>
      <c r="I291" s="274">
        <f t="shared" si="74"/>
        <v>0</v>
      </c>
      <c r="J291" s="275">
        <f t="shared" si="74"/>
        <v>0</v>
      </c>
      <c r="K291" s="276">
        <f t="shared" si="74"/>
        <v>0</v>
      </c>
      <c r="L291" s="310">
        <f t="shared" si="74"/>
        <v>0</v>
      </c>
      <c r="M291" s="7" t="str">
        <f t="shared" si="63"/>
        <v/>
      </c>
      <c r="N291" s="277"/>
    </row>
    <row r="292" spans="1:56" ht="18.75" hidden="1" customHeight="1">
      <c r="A292" s="23">
        <v>780</v>
      </c>
      <c r="B292" s="362"/>
      <c r="C292" s="279">
        <v>5501</v>
      </c>
      <c r="D292" s="311" t="s">
        <v>674</v>
      </c>
      <c r="E292" s="281">
        <f t="shared" ref="E292:L295" si="75">SUMIF($C$610:$C$19581,$C292,E$610:E$19581)</f>
        <v>0</v>
      </c>
      <c r="F292" s="282">
        <f t="shared" si="75"/>
        <v>0</v>
      </c>
      <c r="G292" s="283">
        <f t="shared" si="75"/>
        <v>0</v>
      </c>
      <c r="H292" s="284">
        <f t="shared" si="75"/>
        <v>0</v>
      </c>
      <c r="I292" s="282">
        <f t="shared" si="75"/>
        <v>0</v>
      </c>
      <c r="J292" s="283">
        <f t="shared" si="75"/>
        <v>0</v>
      </c>
      <c r="K292" s="284">
        <f t="shared" si="75"/>
        <v>0</v>
      </c>
      <c r="L292" s="281">
        <f t="shared" si="75"/>
        <v>0</v>
      </c>
      <c r="M292" s="7" t="str">
        <f t="shared" si="63"/>
        <v/>
      </c>
      <c r="N292" s="277"/>
    </row>
    <row r="293" spans="1:56" ht="18.75" hidden="1" customHeight="1">
      <c r="A293" s="23">
        <v>785</v>
      </c>
      <c r="B293" s="362"/>
      <c r="C293" s="293">
        <v>5502</v>
      </c>
      <c r="D293" s="294" t="s">
        <v>675</v>
      </c>
      <c r="E293" s="295">
        <f t="shared" si="75"/>
        <v>0</v>
      </c>
      <c r="F293" s="296">
        <f t="shared" si="75"/>
        <v>0</v>
      </c>
      <c r="G293" s="297">
        <f t="shared" si="75"/>
        <v>0</v>
      </c>
      <c r="H293" s="298">
        <f t="shared" si="75"/>
        <v>0</v>
      </c>
      <c r="I293" s="296">
        <f t="shared" si="75"/>
        <v>0</v>
      </c>
      <c r="J293" s="297">
        <f t="shared" si="75"/>
        <v>0</v>
      </c>
      <c r="K293" s="298">
        <f t="shared" si="75"/>
        <v>0</v>
      </c>
      <c r="L293" s="295">
        <f t="shared" si="75"/>
        <v>0</v>
      </c>
      <c r="M293" s="7" t="str">
        <f t="shared" si="63"/>
        <v/>
      </c>
      <c r="N293" s="277"/>
    </row>
    <row r="294" spans="1:56" ht="18.75" hidden="1" customHeight="1">
      <c r="A294" s="23">
        <v>790</v>
      </c>
      <c r="B294" s="362"/>
      <c r="C294" s="293">
        <v>5503</v>
      </c>
      <c r="D294" s="363" t="s">
        <v>676</v>
      </c>
      <c r="E294" s="295">
        <f t="shared" si="75"/>
        <v>0</v>
      </c>
      <c r="F294" s="296">
        <f t="shared" si="75"/>
        <v>0</v>
      </c>
      <c r="G294" s="297">
        <f t="shared" si="75"/>
        <v>0</v>
      </c>
      <c r="H294" s="298">
        <f t="shared" si="75"/>
        <v>0</v>
      </c>
      <c r="I294" s="296">
        <f t="shared" si="75"/>
        <v>0</v>
      </c>
      <c r="J294" s="297">
        <f t="shared" si="75"/>
        <v>0</v>
      </c>
      <c r="K294" s="298">
        <f t="shared" si="75"/>
        <v>0</v>
      </c>
      <c r="L294" s="295">
        <f t="shared" si="75"/>
        <v>0</v>
      </c>
      <c r="M294" s="7" t="str">
        <f t="shared" si="63"/>
        <v/>
      </c>
      <c r="N294" s="277"/>
    </row>
    <row r="295" spans="1:56" ht="18.75" hidden="1" customHeight="1">
      <c r="A295" s="23">
        <v>795</v>
      </c>
      <c r="B295" s="362"/>
      <c r="C295" s="285">
        <v>5504</v>
      </c>
      <c r="D295" s="339" t="s">
        <v>677</v>
      </c>
      <c r="E295" s="287">
        <f t="shared" si="75"/>
        <v>0</v>
      </c>
      <c r="F295" s="288">
        <f t="shared" si="75"/>
        <v>0</v>
      </c>
      <c r="G295" s="289">
        <f t="shared" si="75"/>
        <v>0</v>
      </c>
      <c r="H295" s="290">
        <f t="shared" si="75"/>
        <v>0</v>
      </c>
      <c r="I295" s="288">
        <f t="shared" si="75"/>
        <v>0</v>
      </c>
      <c r="J295" s="289">
        <f t="shared" si="75"/>
        <v>0</v>
      </c>
      <c r="K295" s="290">
        <f t="shared" si="75"/>
        <v>0</v>
      </c>
      <c r="L295" s="287">
        <f t="shared" si="75"/>
        <v>0</v>
      </c>
      <c r="M295" s="7" t="str">
        <f t="shared" si="63"/>
        <v/>
      </c>
      <c r="N295" s="277"/>
    </row>
    <row r="296" spans="1:56" s="41" customFormat="1" ht="18.75" hidden="1" customHeight="1">
      <c r="A296" s="22">
        <v>805</v>
      </c>
      <c r="B296" s="365">
        <v>5700</v>
      </c>
      <c r="C296" s="1966" t="s">
        <v>899</v>
      </c>
      <c r="D296" s="1967"/>
      <c r="E296" s="310">
        <f t="shared" ref="E296:L296" si="76">SUMIF($B$610:$B$19581,$B296,E$610:E$19581)</f>
        <v>0</v>
      </c>
      <c r="F296" s="274">
        <f t="shared" si="76"/>
        <v>0</v>
      </c>
      <c r="G296" s="275">
        <f t="shared" si="76"/>
        <v>0</v>
      </c>
      <c r="H296" s="276">
        <f t="shared" si="76"/>
        <v>0</v>
      </c>
      <c r="I296" s="274">
        <f t="shared" si="76"/>
        <v>0</v>
      </c>
      <c r="J296" s="275">
        <f t="shared" si="76"/>
        <v>0</v>
      </c>
      <c r="K296" s="276">
        <f t="shared" si="76"/>
        <v>0</v>
      </c>
      <c r="L296" s="310">
        <f t="shared" si="76"/>
        <v>0</v>
      </c>
      <c r="M296" s="7" t="str">
        <f t="shared" si="63"/>
        <v/>
      </c>
      <c r="N296" s="277"/>
    </row>
    <row r="297" spans="1:56" s="42" customFormat="1" ht="18.75" hidden="1" customHeight="1">
      <c r="A297" s="23">
        <v>810</v>
      </c>
      <c r="B297" s="366"/>
      <c r="C297" s="367">
        <v>5701</v>
      </c>
      <c r="D297" s="368" t="s">
        <v>678</v>
      </c>
      <c r="E297" s="281">
        <f t="shared" ref="E297:L299" si="77">SUMIF($C$610:$C$19581,$C297,E$610:E$19581)</f>
        <v>0</v>
      </c>
      <c r="F297" s="282">
        <f t="shared" si="77"/>
        <v>0</v>
      </c>
      <c r="G297" s="283">
        <f t="shared" si="77"/>
        <v>0</v>
      </c>
      <c r="H297" s="284">
        <f t="shared" si="77"/>
        <v>0</v>
      </c>
      <c r="I297" s="282">
        <f t="shared" si="77"/>
        <v>0</v>
      </c>
      <c r="J297" s="283">
        <f t="shared" si="77"/>
        <v>0</v>
      </c>
      <c r="K297" s="284">
        <f t="shared" si="77"/>
        <v>0</v>
      </c>
      <c r="L297" s="281">
        <f t="shared" si="77"/>
        <v>0</v>
      </c>
      <c r="M297" s="7" t="str">
        <f t="shared" si="63"/>
        <v/>
      </c>
      <c r="N297" s="277"/>
    </row>
    <row r="298" spans="1:56" s="42" customFormat="1" ht="18.75" hidden="1" customHeight="1">
      <c r="A298" s="23">
        <v>815</v>
      </c>
      <c r="B298" s="366"/>
      <c r="C298" s="373">
        <v>5702</v>
      </c>
      <c r="D298" s="374" t="s">
        <v>679</v>
      </c>
      <c r="E298" s="314">
        <f t="shared" si="77"/>
        <v>0</v>
      </c>
      <c r="F298" s="315">
        <f t="shared" si="77"/>
        <v>0</v>
      </c>
      <c r="G298" s="316">
        <f t="shared" si="77"/>
        <v>0</v>
      </c>
      <c r="H298" s="317">
        <f t="shared" si="77"/>
        <v>0</v>
      </c>
      <c r="I298" s="315">
        <f t="shared" si="77"/>
        <v>0</v>
      </c>
      <c r="J298" s="316">
        <f t="shared" si="77"/>
        <v>0</v>
      </c>
      <c r="K298" s="317">
        <f t="shared" si="77"/>
        <v>0</v>
      </c>
      <c r="L298" s="314">
        <f t="shared" si="77"/>
        <v>0</v>
      </c>
      <c r="M298" s="7" t="str">
        <f t="shared" si="63"/>
        <v/>
      </c>
      <c r="N298" s="277"/>
    </row>
    <row r="299" spans="1:56" s="35" customFormat="1" ht="18.75" hidden="1" customHeight="1">
      <c r="A299" s="28">
        <v>525</v>
      </c>
      <c r="B299" s="292"/>
      <c r="C299" s="375">
        <v>4071</v>
      </c>
      <c r="D299" s="376" t="s">
        <v>680</v>
      </c>
      <c r="E299" s="377">
        <f t="shared" si="77"/>
        <v>0</v>
      </c>
      <c r="F299" s="378">
        <f t="shared" si="77"/>
        <v>0</v>
      </c>
      <c r="G299" s="379">
        <f t="shared" si="77"/>
        <v>0</v>
      </c>
      <c r="H299" s="380">
        <f t="shared" si="77"/>
        <v>0</v>
      </c>
      <c r="I299" s="378">
        <f t="shared" si="77"/>
        <v>0</v>
      </c>
      <c r="J299" s="379">
        <f t="shared" si="77"/>
        <v>0</v>
      </c>
      <c r="K299" s="380">
        <f t="shared" si="77"/>
        <v>0</v>
      </c>
      <c r="L299" s="377">
        <f t="shared" si="77"/>
        <v>0</v>
      </c>
      <c r="M299" s="7" t="str">
        <f t="shared" si="63"/>
        <v/>
      </c>
      <c r="N299" s="277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D299" s="32"/>
    </row>
    <row r="300" spans="1:56" s="15" customFormat="1" hidden="1">
      <c r="A300" s="22">
        <v>820</v>
      </c>
      <c r="B300" s="381">
        <v>98</v>
      </c>
      <c r="C300" s="1968" t="s">
        <v>681</v>
      </c>
      <c r="D300" s="1969"/>
      <c r="E300" s="382">
        <f t="shared" ref="E300:L300" si="78">SUMIF($B$610:$B$19581,$B300,E$610:E$19581)</f>
        <v>0</v>
      </c>
      <c r="F300" s="383">
        <f t="shared" si="78"/>
        <v>0</v>
      </c>
      <c r="G300" s="384">
        <f t="shared" si="78"/>
        <v>0</v>
      </c>
      <c r="H300" s="385">
        <f t="shared" si="78"/>
        <v>0</v>
      </c>
      <c r="I300" s="383">
        <f t="shared" si="78"/>
        <v>0</v>
      </c>
      <c r="J300" s="384">
        <f t="shared" si="78"/>
        <v>0</v>
      </c>
      <c r="K300" s="385">
        <f t="shared" si="78"/>
        <v>0</v>
      </c>
      <c r="L300" s="382">
        <f t="shared" si="78"/>
        <v>0</v>
      </c>
      <c r="M300" s="7" t="str">
        <f t="shared" si="63"/>
        <v/>
      </c>
      <c r="N300" s="277"/>
    </row>
    <row r="301" spans="1:56" ht="8.25" hidden="1" customHeight="1">
      <c r="A301" s="23">
        <v>821</v>
      </c>
      <c r="B301" s="386"/>
      <c r="C301" s="387"/>
      <c r="D301" s="388"/>
      <c r="E301" s="217"/>
      <c r="F301" s="218"/>
      <c r="G301" s="218"/>
      <c r="H301" s="389"/>
      <c r="I301" s="218"/>
      <c r="J301" s="218"/>
      <c r="K301" s="389"/>
      <c r="L301" s="217"/>
      <c r="M301" s="7" t="str">
        <f t="shared" si="63"/>
        <v/>
      </c>
      <c r="N301" s="277"/>
    </row>
    <row r="302" spans="1:56" ht="8.25" hidden="1" customHeight="1">
      <c r="A302" s="23">
        <v>822</v>
      </c>
      <c r="B302" s="390"/>
      <c r="C302" s="391"/>
      <c r="D302" s="388"/>
      <c r="E302" s="217"/>
      <c r="F302" s="218"/>
      <c r="G302" s="218"/>
      <c r="H302" s="389"/>
      <c r="I302" s="218"/>
      <c r="J302" s="218"/>
      <c r="K302" s="389"/>
      <c r="L302" s="217"/>
      <c r="M302" s="7" t="str">
        <f t="shared" si="63"/>
        <v/>
      </c>
      <c r="N302" s="330"/>
    </row>
    <row r="303" spans="1:56" ht="8.25" hidden="1" customHeight="1">
      <c r="A303" s="23">
        <v>823</v>
      </c>
      <c r="B303" s="390"/>
      <c r="C303" s="391"/>
      <c r="D303" s="388"/>
      <c r="E303" s="217"/>
      <c r="F303" s="218"/>
      <c r="G303" s="218"/>
      <c r="H303" s="389"/>
      <c r="I303" s="218"/>
      <c r="J303" s="218"/>
      <c r="K303" s="389"/>
      <c r="L303" s="217"/>
      <c r="M303" s="7" t="str">
        <f t="shared" si="63"/>
        <v/>
      </c>
      <c r="N303" s="330"/>
    </row>
    <row r="304" spans="1:56" ht="20.25" customHeight="1" thickBot="1">
      <c r="A304" s="23">
        <v>825</v>
      </c>
      <c r="B304" s="392" t="s">
        <v>892</v>
      </c>
      <c r="C304" s="393" t="s">
        <v>727</v>
      </c>
      <c r="D304" s="394" t="s">
        <v>900</v>
      </c>
      <c r="E304" s="395">
        <f t="shared" ref="E304:L304" si="79">SUMIF($C$610:$C$19581,$C304,E$610:E$19581)</f>
        <v>0</v>
      </c>
      <c r="F304" s="396">
        <f t="shared" si="79"/>
        <v>0</v>
      </c>
      <c r="G304" s="397">
        <f t="shared" si="79"/>
        <v>0</v>
      </c>
      <c r="H304" s="398">
        <f t="shared" si="79"/>
        <v>0</v>
      </c>
      <c r="I304" s="396">
        <f t="shared" si="79"/>
        <v>1048064</v>
      </c>
      <c r="J304" s="397">
        <f t="shared" si="79"/>
        <v>0</v>
      </c>
      <c r="K304" s="398">
        <f t="shared" si="79"/>
        <v>0</v>
      </c>
      <c r="L304" s="395">
        <f t="shared" si="79"/>
        <v>1048064</v>
      </c>
      <c r="M304" s="7">
        <v>1</v>
      </c>
      <c r="N304" s="257"/>
    </row>
    <row r="305" spans="1:14" ht="13.5" customHeight="1" thickTop="1">
      <c r="A305" s="23"/>
      <c r="B305" s="214"/>
      <c r="C305" s="399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7"/>
    </row>
    <row r="306" spans="1:14">
      <c r="A306" s="23"/>
      <c r="B306" s="228"/>
      <c r="C306" s="391"/>
      <c r="D306" s="400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7"/>
    </row>
    <row r="307" spans="1:14">
      <c r="A307" s="23"/>
      <c r="B307" s="401"/>
      <c r="C307" s="402"/>
      <c r="D307" s="403"/>
      <c r="E307" s="404"/>
      <c r="F307" s="404"/>
      <c r="G307" s="404"/>
      <c r="H307" s="404"/>
      <c r="I307" s="404"/>
      <c r="J307" s="404"/>
      <c r="K307" s="404"/>
      <c r="L307" s="404"/>
      <c r="M307" s="7">
        <v>1</v>
      </c>
      <c r="N307" s="257"/>
    </row>
    <row r="308" spans="1:14" ht="0.95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5" hidden="1" customHeight="1">
      <c r="A309" s="23"/>
      <c r="B309" s="1970"/>
      <c r="C309" s="1961"/>
      <c r="D309" s="1961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5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5" hidden="1" customHeight="1">
      <c r="A311" s="23"/>
      <c r="B311" s="1960"/>
      <c r="C311" s="1961"/>
      <c r="D311" s="1961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5" hidden="1" customHeight="1">
      <c r="A314" s="23"/>
      <c r="B314" s="1960"/>
      <c r="C314" s="1961"/>
      <c r="D314" s="1961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5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5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5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5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5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5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5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5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5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5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5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5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5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5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5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5" hidden="1" customHeight="1">
      <c r="A347" s="36"/>
      <c r="B347" s="1962"/>
      <c r="C347" s="1962"/>
      <c r="D347" s="1962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5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5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1"/>
      <c r="D350" s="400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 ht="21" customHeight="1">
      <c r="A351" s="36"/>
      <c r="B351" s="1965" t="str">
        <f>$B$7</f>
        <v>ОТЧЕТНИ ДАННИ ПО ЕБК ЗА ИЗПЪЛНЕНИЕТО НА БЮДЖЕТА</v>
      </c>
      <c r="C351" s="1965"/>
      <c r="D351" s="1965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5"/>
    </row>
    <row r="352" spans="1:14" ht="18.75" customHeight="1">
      <c r="A352" s="36"/>
      <c r="B352" s="228"/>
      <c r="C352" s="391"/>
      <c r="D352" s="400"/>
      <c r="E352" s="406" t="s">
        <v>874</v>
      </c>
      <c r="F352" s="406" t="s">
        <v>820</v>
      </c>
      <c r="G352" s="223"/>
      <c r="H352" s="223"/>
      <c r="I352" s="223"/>
      <c r="J352" s="223"/>
      <c r="K352" s="223"/>
      <c r="L352" s="223"/>
      <c r="M352" s="7">
        <v>1</v>
      </c>
      <c r="N352" s="405"/>
    </row>
    <row r="353" spans="1:14" ht="27" customHeight="1">
      <c r="A353" s="36"/>
      <c r="B353" s="1952" t="str">
        <f>$B$9</f>
        <v>ДЕТСКА ГРАДИНА „СЛЪНЦЕ”</v>
      </c>
      <c r="C353" s="1953"/>
      <c r="D353" s="1954"/>
      <c r="E353" s="115">
        <f>$E$9</f>
        <v>45658</v>
      </c>
      <c r="F353" s="407">
        <f>$F$9</f>
        <v>46022</v>
      </c>
      <c r="G353" s="223"/>
      <c r="H353" s="223"/>
      <c r="I353" s="223"/>
      <c r="J353" s="223"/>
      <c r="K353" s="223"/>
      <c r="L353" s="223"/>
      <c r="M353" s="7">
        <v>1</v>
      </c>
      <c r="N353" s="405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5.25" customHeight="1">
      <c r="A355" s="36"/>
      <c r="B355" s="227"/>
      <c r="C355" s="228"/>
      <c r="D355" s="229"/>
      <c r="E355" s="409"/>
      <c r="F355" s="237"/>
      <c r="G355" s="223"/>
      <c r="H355" s="223"/>
      <c r="I355" s="223"/>
      <c r="J355" s="223"/>
      <c r="K355" s="223"/>
      <c r="L355" s="223"/>
      <c r="M355" s="7">
        <v>1</v>
      </c>
      <c r="N355" s="408"/>
    </row>
    <row r="356" spans="1:14" ht="27.75" customHeight="1">
      <c r="A356" s="36"/>
      <c r="B356" s="1945" t="e">
        <f>$B$12</f>
        <v>#N/A</v>
      </c>
      <c r="C356" s="1946"/>
      <c r="D356" s="1947"/>
      <c r="E356" s="410" t="s">
        <v>875</v>
      </c>
      <c r="F356" s="232" t="str">
        <f>$F$12</f>
        <v>1201341</v>
      </c>
      <c r="G356" s="223"/>
      <c r="H356" s="223"/>
      <c r="I356" s="223"/>
      <c r="J356" s="223"/>
      <c r="K356" s="223"/>
      <c r="L356" s="223"/>
      <c r="M356" s="7">
        <v>1</v>
      </c>
      <c r="N356" s="408"/>
    </row>
    <row r="357" spans="1:14">
      <c r="A357" s="36"/>
      <c r="B357" s="411" t="str">
        <f>$B$13</f>
        <v>(наименование на първостепенния разпоредител с бюджет)</v>
      </c>
      <c r="C357" s="6"/>
      <c r="D357" s="237"/>
      <c r="E357" s="409"/>
      <c r="F357" s="237"/>
      <c r="G357" s="223"/>
      <c r="H357" s="223"/>
      <c r="I357" s="223"/>
      <c r="J357" s="223"/>
      <c r="K357" s="223"/>
      <c r="L357" s="223"/>
      <c r="M357" s="7">
        <v>1</v>
      </c>
      <c r="N357" s="408"/>
    </row>
    <row r="358" spans="1:14" ht="21.75" customHeight="1">
      <c r="A358" s="36"/>
      <c r="B358" s="412"/>
      <c r="C358" s="412"/>
      <c r="D358" s="413"/>
      <c r="E358" s="238">
        <f>$E$15</f>
        <v>0</v>
      </c>
      <c r="F358" s="414" t="str">
        <f>+$F$15</f>
        <v>БЮДЖЕТ</v>
      </c>
      <c r="G358" s="239"/>
      <c r="H358" s="239"/>
      <c r="I358" s="239"/>
      <c r="J358" s="239"/>
      <c r="K358" s="239"/>
      <c r="L358" s="239"/>
      <c r="M358" s="7">
        <v>1</v>
      </c>
      <c r="N358" s="408"/>
    </row>
    <row r="359" spans="1:14" ht="16.5" thickBot="1">
      <c r="A359" s="36"/>
      <c r="B359" s="228"/>
      <c r="C359" s="391"/>
      <c r="D359" s="400"/>
      <c r="E359" s="223"/>
      <c r="F359" s="244"/>
      <c r="G359" s="244"/>
      <c r="H359" s="245" t="s">
        <v>459</v>
      </c>
      <c r="I359" s="244"/>
      <c r="J359" s="244"/>
      <c r="K359" s="244"/>
      <c r="L359" s="246" t="s">
        <v>459</v>
      </c>
      <c r="M359" s="7">
        <v>1</v>
      </c>
      <c r="N359" s="408"/>
    </row>
    <row r="360" spans="1:14" ht="22.5" customHeight="1">
      <c r="A360" s="36"/>
      <c r="B360" s="415"/>
      <c r="C360" s="416"/>
      <c r="D360" s="417" t="s">
        <v>901</v>
      </c>
      <c r="E360" s="2006" t="str">
        <f>CONCATENATE("Уточнен план ", $C$3, " - ТРАНСФЕРИ и ВРЕМ. БЕЗЛ. ЗАЕМИ")</f>
        <v>Уточнен план 2025 - ТРАНСФЕРИ и ВРЕМ. БЕЗЛ. ЗАЕМИ</v>
      </c>
      <c r="F360" s="2007"/>
      <c r="G360" s="2007"/>
      <c r="H360" s="2008"/>
      <c r="I360" s="2009" t="str">
        <f>CONCATENATE("Отчет ", $C$3, " - ТРАНСФЕРИ и ВРЕМ. БЕЗЛ. ЗАЕМИ")</f>
        <v>Отчет 2025 - ТРАНСФЕРИ и ВРЕМ. БЕЗЛ. ЗАЕМИ</v>
      </c>
      <c r="J360" s="2010"/>
      <c r="K360" s="2010"/>
      <c r="L360" s="2011"/>
      <c r="M360" s="7">
        <v>1</v>
      </c>
      <c r="N360" s="408"/>
    </row>
    <row r="361" spans="1:14" ht="48" customHeight="1">
      <c r="A361" s="36"/>
      <c r="B361" s="418" t="s">
        <v>62</v>
      </c>
      <c r="C361" s="419" t="s">
        <v>460</v>
      </c>
      <c r="D361" s="420" t="s">
        <v>664</v>
      </c>
      <c r="E361" s="137" t="str">
        <f t="shared" ref="E361:L362" si="80">E20</f>
        <v>Уточнен план                Общо</v>
      </c>
      <c r="F361" s="1395" t="str">
        <f t="shared" si="80"/>
        <v>държавни дейности</v>
      </c>
      <c r="G361" s="1396" t="str">
        <f t="shared" si="80"/>
        <v>местни дейности</v>
      </c>
      <c r="H361" s="1397" t="str">
        <f t="shared" si="80"/>
        <v>дофинансиране</v>
      </c>
      <c r="I361" s="421" t="str">
        <f t="shared" si="80"/>
        <v>държавни дейности -ОТЧЕТ</v>
      </c>
      <c r="J361" s="422" t="str">
        <f t="shared" si="80"/>
        <v>местни дейности - ОТЧЕТ</v>
      </c>
      <c r="K361" s="423" t="str">
        <f t="shared" si="80"/>
        <v>дофинансиране - ОТЧЕТ</v>
      </c>
      <c r="L361" s="424" t="str">
        <f t="shared" si="80"/>
        <v>ОТЧЕТ                                    ОБЩО</v>
      </c>
      <c r="M361" s="7">
        <v>1</v>
      </c>
      <c r="N361" s="408"/>
    </row>
    <row r="362" spans="1:14" ht="18.75">
      <c r="A362" s="36">
        <v>1</v>
      </c>
      <c r="B362" s="425" t="s">
        <v>902</v>
      </c>
      <c r="C362" s="426"/>
      <c r="D362" s="427" t="s">
        <v>665</v>
      </c>
      <c r="E362" s="428" t="str">
        <f t="shared" si="80"/>
        <v>(1)</v>
      </c>
      <c r="F362" s="429" t="str">
        <f t="shared" si="80"/>
        <v>(2)</v>
      </c>
      <c r="G362" s="430" t="str">
        <f t="shared" si="80"/>
        <v>(3)</v>
      </c>
      <c r="H362" s="431" t="str">
        <f t="shared" si="80"/>
        <v>(4)</v>
      </c>
      <c r="I362" s="261" t="str">
        <f t="shared" si="80"/>
        <v>(5)</v>
      </c>
      <c r="J362" s="262" t="str">
        <f t="shared" si="80"/>
        <v>(6)</v>
      </c>
      <c r="K362" s="263" t="str">
        <f t="shared" si="80"/>
        <v>(7)</v>
      </c>
      <c r="L362" s="432" t="str">
        <f t="shared" si="80"/>
        <v>(8)</v>
      </c>
      <c r="M362" s="7">
        <v>1</v>
      </c>
      <c r="N362" s="408"/>
    </row>
    <row r="363" spans="1:14">
      <c r="A363" s="36">
        <v>2</v>
      </c>
      <c r="B363" s="433"/>
      <c r="C363" s="434"/>
      <c r="D363" s="435"/>
      <c r="E363" s="436"/>
      <c r="F363" s="437"/>
      <c r="G363" s="437"/>
      <c r="H363" s="437"/>
      <c r="I363" s="437"/>
      <c r="J363" s="437"/>
      <c r="K363" s="437"/>
      <c r="L363" s="389"/>
      <c r="M363" s="7">
        <v>1</v>
      </c>
      <c r="N363" s="408"/>
    </row>
    <row r="364" spans="1:14" s="15" customFormat="1" ht="18.75" hidden="1" customHeight="1">
      <c r="A364" s="39">
        <v>5</v>
      </c>
      <c r="B364" s="438">
        <v>3000</v>
      </c>
      <c r="C364" s="1963" t="s">
        <v>270</v>
      </c>
      <c r="D364" s="1964"/>
      <c r="E364" s="1366">
        <f t="shared" ref="E364:L364" si="81">SUM(E365:E377)</f>
        <v>0</v>
      </c>
      <c r="F364" s="439">
        <f t="shared" si="81"/>
        <v>0</v>
      </c>
      <c r="G364" s="440">
        <f t="shared" si="81"/>
        <v>0</v>
      </c>
      <c r="H364" s="441">
        <f>SUM(H365:H377)</f>
        <v>0</v>
      </c>
      <c r="I364" s="439">
        <f t="shared" si="81"/>
        <v>0</v>
      </c>
      <c r="J364" s="440">
        <f t="shared" si="81"/>
        <v>0</v>
      </c>
      <c r="K364" s="441">
        <f>SUM(K365:K377)</f>
        <v>0</v>
      </c>
      <c r="L364" s="1366">
        <f t="shared" si="81"/>
        <v>0</v>
      </c>
      <c r="M364" s="7" t="str">
        <f t="shared" ref="M364:M427" si="82">(IF($E364&lt;&gt;0,$M$2,IF($L364&lt;&gt;0,$M$2,"")))</f>
        <v/>
      </c>
      <c r="N364" s="408"/>
    </row>
    <row r="365" spans="1:14" ht="18.75" hidden="1" customHeight="1">
      <c r="A365" s="36">
        <v>10</v>
      </c>
      <c r="B365" s="181"/>
      <c r="C365" s="150">
        <v>3020</v>
      </c>
      <c r="D365" s="151" t="s">
        <v>271</v>
      </c>
      <c r="E365" s="1367">
        <f t="shared" ref="E365:E421" si="83">F365+G365+H365</f>
        <v>0</v>
      </c>
      <c r="F365" s="482">
        <v>0</v>
      </c>
      <c r="G365" s="483">
        <v>0</v>
      </c>
      <c r="H365" s="154">
        <v>0</v>
      </c>
      <c r="I365" s="482">
        <v>0</v>
      </c>
      <c r="J365" s="483">
        <v>0</v>
      </c>
      <c r="K365" s="154">
        <v>0</v>
      </c>
      <c r="L365" s="1367">
        <f>I365+J365+K365</f>
        <v>0</v>
      </c>
      <c r="M365" s="7" t="str">
        <f t="shared" si="82"/>
        <v/>
      </c>
      <c r="N365" s="408"/>
    </row>
    <row r="366" spans="1:14" ht="18.75" hidden="1" customHeight="1">
      <c r="A366" s="44">
        <v>20</v>
      </c>
      <c r="B366" s="181"/>
      <c r="C366" s="156">
        <v>3040</v>
      </c>
      <c r="D366" s="442" t="s">
        <v>272</v>
      </c>
      <c r="E366" s="1368">
        <f t="shared" si="83"/>
        <v>0</v>
      </c>
      <c r="F366" s="484">
        <v>0</v>
      </c>
      <c r="G366" s="485">
        <v>0</v>
      </c>
      <c r="H366" s="160">
        <v>0</v>
      </c>
      <c r="I366" s="484">
        <v>0</v>
      </c>
      <c r="J366" s="485">
        <v>0</v>
      </c>
      <c r="K366" s="160">
        <v>0</v>
      </c>
      <c r="L366" s="1368">
        <f t="shared" ref="L366:L377" si="84">I366+J366+K366</f>
        <v>0</v>
      </c>
      <c r="M366" s="7" t="str">
        <f t="shared" si="82"/>
        <v/>
      </c>
      <c r="N366" s="408"/>
    </row>
    <row r="367" spans="1:14" ht="18.75" hidden="1" customHeight="1">
      <c r="A367" s="36">
        <v>25</v>
      </c>
      <c r="B367" s="181"/>
      <c r="C367" s="156">
        <v>3041</v>
      </c>
      <c r="D367" s="157" t="s">
        <v>325</v>
      </c>
      <c r="E367" s="1368">
        <f t="shared" si="83"/>
        <v>0</v>
      </c>
      <c r="F367" s="484">
        <v>0</v>
      </c>
      <c r="G367" s="485">
        <v>0</v>
      </c>
      <c r="H367" s="160">
        <v>0</v>
      </c>
      <c r="I367" s="484">
        <v>0</v>
      </c>
      <c r="J367" s="485">
        <v>0</v>
      </c>
      <c r="K367" s="160">
        <v>0</v>
      </c>
      <c r="L367" s="1368">
        <f t="shared" si="84"/>
        <v>0</v>
      </c>
      <c r="M367" s="7" t="str">
        <f t="shared" si="82"/>
        <v/>
      </c>
      <c r="N367" s="408"/>
    </row>
    <row r="368" spans="1:14" ht="18.75" hidden="1" customHeight="1">
      <c r="A368" s="36">
        <v>30</v>
      </c>
      <c r="B368" s="149"/>
      <c r="C368" s="156">
        <v>3042</v>
      </c>
      <c r="D368" s="157" t="s">
        <v>326</v>
      </c>
      <c r="E368" s="1368">
        <f t="shared" si="83"/>
        <v>0</v>
      </c>
      <c r="F368" s="484">
        <v>0</v>
      </c>
      <c r="G368" s="485">
        <v>0</v>
      </c>
      <c r="H368" s="160">
        <v>0</v>
      </c>
      <c r="I368" s="484">
        <v>0</v>
      </c>
      <c r="J368" s="485">
        <v>0</v>
      </c>
      <c r="K368" s="160">
        <v>0</v>
      </c>
      <c r="L368" s="1368">
        <f t="shared" si="84"/>
        <v>0</v>
      </c>
      <c r="M368" s="7" t="str">
        <f t="shared" si="82"/>
        <v/>
      </c>
      <c r="N368" s="408"/>
    </row>
    <row r="369" spans="1:14" ht="18.75" hidden="1" customHeight="1">
      <c r="A369" s="36">
        <v>35</v>
      </c>
      <c r="B369" s="149"/>
      <c r="C369" s="156">
        <v>3043</v>
      </c>
      <c r="D369" s="157" t="s">
        <v>273</v>
      </c>
      <c r="E369" s="1368">
        <f t="shared" si="83"/>
        <v>0</v>
      </c>
      <c r="F369" s="484">
        <v>0</v>
      </c>
      <c r="G369" s="485">
        <v>0</v>
      </c>
      <c r="H369" s="160">
        <v>0</v>
      </c>
      <c r="I369" s="484">
        <v>0</v>
      </c>
      <c r="J369" s="485">
        <v>0</v>
      </c>
      <c r="K369" s="160">
        <v>0</v>
      </c>
      <c r="L369" s="1368">
        <f t="shared" si="84"/>
        <v>0</v>
      </c>
      <c r="M369" s="7" t="str">
        <f t="shared" si="82"/>
        <v/>
      </c>
      <c r="N369" s="408"/>
    </row>
    <row r="370" spans="1:14" ht="18.75" hidden="1" customHeight="1">
      <c r="A370" s="36">
        <v>36</v>
      </c>
      <c r="B370" s="149"/>
      <c r="C370" s="443">
        <v>3048</v>
      </c>
      <c r="D370" s="444" t="s">
        <v>274</v>
      </c>
      <c r="E370" s="1369">
        <f t="shared" si="83"/>
        <v>0</v>
      </c>
      <c r="F370" s="1452">
        <v>0</v>
      </c>
      <c r="G370" s="1453">
        <v>0</v>
      </c>
      <c r="H370" s="447">
        <v>0</v>
      </c>
      <c r="I370" s="1452">
        <v>0</v>
      </c>
      <c r="J370" s="1453">
        <v>0</v>
      </c>
      <c r="K370" s="447">
        <v>0</v>
      </c>
      <c r="L370" s="1369">
        <f t="shared" si="84"/>
        <v>0</v>
      </c>
      <c r="M370" s="7" t="str">
        <f t="shared" si="82"/>
        <v/>
      </c>
      <c r="N370" s="408"/>
    </row>
    <row r="371" spans="1:14" ht="18.75" hidden="1" customHeight="1">
      <c r="A371" s="36">
        <v>45</v>
      </c>
      <c r="B371" s="149"/>
      <c r="C371" s="448">
        <v>3050</v>
      </c>
      <c r="D371" s="449" t="s">
        <v>275</v>
      </c>
      <c r="E371" s="1370">
        <f t="shared" si="83"/>
        <v>0</v>
      </c>
      <c r="F371" s="1454">
        <v>0</v>
      </c>
      <c r="G371" s="1455">
        <v>0</v>
      </c>
      <c r="H371" s="452">
        <v>0</v>
      </c>
      <c r="I371" s="1454">
        <v>0</v>
      </c>
      <c r="J371" s="1455">
        <v>0</v>
      </c>
      <c r="K371" s="452">
        <v>0</v>
      </c>
      <c r="L371" s="1370">
        <f t="shared" si="84"/>
        <v>0</v>
      </c>
      <c r="M371" s="7" t="str">
        <f t="shared" si="82"/>
        <v/>
      </c>
      <c r="N371" s="408"/>
    </row>
    <row r="372" spans="1:14" ht="18.75" hidden="1" customHeight="1">
      <c r="A372" s="36">
        <v>50</v>
      </c>
      <c r="B372" s="149"/>
      <c r="C372" s="443">
        <v>3061</v>
      </c>
      <c r="D372" s="444" t="s">
        <v>276</v>
      </c>
      <c r="E372" s="1369">
        <f t="shared" si="83"/>
        <v>0</v>
      </c>
      <c r="F372" s="1452">
        <v>0</v>
      </c>
      <c r="G372" s="1453">
        <v>0</v>
      </c>
      <c r="H372" s="447">
        <v>0</v>
      </c>
      <c r="I372" s="1452">
        <v>0</v>
      </c>
      <c r="J372" s="1453">
        <v>0</v>
      </c>
      <c r="K372" s="447">
        <v>0</v>
      </c>
      <c r="L372" s="1369">
        <f t="shared" si="84"/>
        <v>0</v>
      </c>
      <c r="M372" s="7" t="str">
        <f t="shared" si="82"/>
        <v/>
      </c>
      <c r="N372" s="408"/>
    </row>
    <row r="373" spans="1:14" ht="18.75" hidden="1" customHeight="1">
      <c r="A373" s="36">
        <v>60</v>
      </c>
      <c r="B373" s="149"/>
      <c r="C373" s="448">
        <v>3081</v>
      </c>
      <c r="D373" s="449" t="s">
        <v>277</v>
      </c>
      <c r="E373" s="1370">
        <f t="shared" si="83"/>
        <v>0</v>
      </c>
      <c r="F373" s="1454">
        <v>0</v>
      </c>
      <c r="G373" s="1455">
        <v>0</v>
      </c>
      <c r="H373" s="452">
        <v>0</v>
      </c>
      <c r="I373" s="1454">
        <v>0</v>
      </c>
      <c r="J373" s="1455">
        <v>0</v>
      </c>
      <c r="K373" s="452">
        <v>0</v>
      </c>
      <c r="L373" s="1370">
        <f t="shared" si="84"/>
        <v>0</v>
      </c>
      <c r="M373" s="7" t="str">
        <f t="shared" si="82"/>
        <v/>
      </c>
      <c r="N373" s="408"/>
    </row>
    <row r="374" spans="1:14" ht="18.75" hidden="1" customHeight="1">
      <c r="A374" s="36"/>
      <c r="B374" s="149"/>
      <c r="C374" s="156">
        <v>3082</v>
      </c>
      <c r="D374" s="157" t="s">
        <v>278</v>
      </c>
      <c r="E374" s="1368">
        <f t="shared" si="83"/>
        <v>0</v>
      </c>
      <c r="F374" s="484">
        <v>0</v>
      </c>
      <c r="G374" s="485">
        <v>0</v>
      </c>
      <c r="H374" s="160">
        <v>0</v>
      </c>
      <c r="I374" s="484">
        <v>0</v>
      </c>
      <c r="J374" s="485">
        <v>0</v>
      </c>
      <c r="K374" s="160">
        <v>0</v>
      </c>
      <c r="L374" s="1368">
        <f t="shared" si="84"/>
        <v>0</v>
      </c>
      <c r="M374" s="7" t="str">
        <f t="shared" si="82"/>
        <v/>
      </c>
      <c r="N374" s="408"/>
    </row>
    <row r="375" spans="1:14" ht="18.75" hidden="1" customHeight="1">
      <c r="A375" s="36">
        <v>65</v>
      </c>
      <c r="B375" s="149"/>
      <c r="C375" s="156">
        <v>3083</v>
      </c>
      <c r="D375" s="157" t="s">
        <v>279</v>
      </c>
      <c r="E375" s="1368">
        <f t="shared" si="83"/>
        <v>0</v>
      </c>
      <c r="F375" s="484">
        <v>0</v>
      </c>
      <c r="G375" s="485">
        <v>0</v>
      </c>
      <c r="H375" s="160">
        <v>0</v>
      </c>
      <c r="I375" s="484">
        <v>0</v>
      </c>
      <c r="J375" s="485">
        <v>0</v>
      </c>
      <c r="K375" s="160">
        <v>0</v>
      </c>
      <c r="L375" s="1368">
        <f t="shared" si="84"/>
        <v>0</v>
      </c>
      <c r="M375" s="7" t="str">
        <f t="shared" si="82"/>
        <v/>
      </c>
      <c r="N375" s="408"/>
    </row>
    <row r="376" spans="1:14" ht="18.75" hidden="1" customHeight="1">
      <c r="A376" s="36">
        <v>65</v>
      </c>
      <c r="B376" s="149"/>
      <c r="C376" s="156">
        <v>3089</v>
      </c>
      <c r="D376" s="453" t="s">
        <v>280</v>
      </c>
      <c r="E376" s="1368">
        <f t="shared" si="83"/>
        <v>0</v>
      </c>
      <c r="F376" s="484">
        <v>0</v>
      </c>
      <c r="G376" s="485">
        <v>0</v>
      </c>
      <c r="H376" s="160">
        <v>0</v>
      </c>
      <c r="I376" s="484">
        <v>0</v>
      </c>
      <c r="J376" s="485">
        <v>0</v>
      </c>
      <c r="K376" s="160">
        <v>0</v>
      </c>
      <c r="L376" s="1368">
        <f t="shared" si="84"/>
        <v>0</v>
      </c>
      <c r="M376" s="7" t="str">
        <f t="shared" si="82"/>
        <v/>
      </c>
      <c r="N376" s="408"/>
    </row>
    <row r="377" spans="1:14" ht="18.75" hidden="1" customHeight="1">
      <c r="A377" s="36">
        <v>65</v>
      </c>
      <c r="B377" s="149"/>
      <c r="C377" s="179">
        <v>3090</v>
      </c>
      <c r="D377" s="172" t="s">
        <v>302</v>
      </c>
      <c r="E377" s="1371">
        <f t="shared" si="83"/>
        <v>0</v>
      </c>
      <c r="F377" s="486">
        <v>0</v>
      </c>
      <c r="G377" s="487">
        <v>0</v>
      </c>
      <c r="H377" s="175">
        <v>0</v>
      </c>
      <c r="I377" s="486">
        <v>0</v>
      </c>
      <c r="J377" s="487">
        <v>0</v>
      </c>
      <c r="K377" s="175">
        <v>0</v>
      </c>
      <c r="L377" s="1371">
        <f t="shared" si="84"/>
        <v>0</v>
      </c>
      <c r="M377" s="7" t="str">
        <f t="shared" si="82"/>
        <v/>
      </c>
      <c r="N377" s="408"/>
    </row>
    <row r="378" spans="1:14" s="15" customFormat="1" ht="18.75" customHeight="1">
      <c r="A378" s="39">
        <v>70</v>
      </c>
      <c r="B378" s="454">
        <v>3100</v>
      </c>
      <c r="C378" s="1927" t="s">
        <v>281</v>
      </c>
      <c r="D378" s="1928"/>
      <c r="E378" s="1366">
        <f t="shared" ref="E378:L378" si="85">SUM(E379:E385)</f>
        <v>0</v>
      </c>
      <c r="F378" s="455">
        <f t="shared" si="85"/>
        <v>0</v>
      </c>
      <c r="G378" s="456">
        <f t="shared" si="85"/>
        <v>0</v>
      </c>
      <c r="H378" s="441">
        <f>SUM(H379:H385)</f>
        <v>0</v>
      </c>
      <c r="I378" s="455">
        <f t="shared" si="85"/>
        <v>1035857</v>
      </c>
      <c r="J378" s="440">
        <f t="shared" si="85"/>
        <v>0</v>
      </c>
      <c r="K378" s="441">
        <f>SUM(K379:K385)</f>
        <v>0</v>
      </c>
      <c r="L378" s="1366">
        <f t="shared" si="85"/>
        <v>1035857</v>
      </c>
      <c r="M378" s="7">
        <f t="shared" si="82"/>
        <v>1</v>
      </c>
      <c r="N378" s="408"/>
    </row>
    <row r="379" spans="1:14" ht="18.75" hidden="1" customHeight="1">
      <c r="A379" s="45">
        <v>75</v>
      </c>
      <c r="B379" s="149"/>
      <c r="C379" s="457">
        <v>3110</v>
      </c>
      <c r="D379" s="458" t="s">
        <v>903</v>
      </c>
      <c r="E379" s="1372">
        <f t="shared" si="83"/>
        <v>0</v>
      </c>
      <c r="F379" s="1700">
        <v>0</v>
      </c>
      <c r="G379" s="1708">
        <v>0</v>
      </c>
      <c r="H379" s="1699">
        <v>0</v>
      </c>
      <c r="I379" s="1700">
        <v>0</v>
      </c>
      <c r="J379" s="1708">
        <v>0</v>
      </c>
      <c r="K379" s="1699">
        <v>0</v>
      </c>
      <c r="L379" s="1372">
        <f t="shared" ref="L379:L385" si="86">I379+J379+K379</f>
        <v>0</v>
      </c>
      <c r="M379" s="7" t="str">
        <f t="shared" si="82"/>
        <v/>
      </c>
      <c r="N379" s="408"/>
    </row>
    <row r="380" spans="1:14" ht="18.75" customHeight="1">
      <c r="A380" s="23">
        <v>80</v>
      </c>
      <c r="B380" s="461"/>
      <c r="C380" s="448">
        <v>3111</v>
      </c>
      <c r="D380" s="462" t="s">
        <v>904</v>
      </c>
      <c r="E380" s="1370">
        <f t="shared" si="83"/>
        <v>0</v>
      </c>
      <c r="F380" s="1709"/>
      <c r="G380" s="1707">
        <v>0</v>
      </c>
      <c r="H380" s="452">
        <v>0</v>
      </c>
      <c r="I380" s="1709">
        <v>1035857</v>
      </c>
      <c r="J380" s="1707">
        <v>0</v>
      </c>
      <c r="K380" s="452">
        <v>0</v>
      </c>
      <c r="L380" s="1370">
        <f t="shared" si="86"/>
        <v>1035857</v>
      </c>
      <c r="M380" s="7">
        <f t="shared" si="82"/>
        <v>1</v>
      </c>
      <c r="N380" s="408"/>
    </row>
    <row r="381" spans="1:14" ht="27" hidden="1" customHeight="1">
      <c r="A381" s="23">
        <v>85</v>
      </c>
      <c r="B381" s="461"/>
      <c r="C381" s="156">
        <v>3112</v>
      </c>
      <c r="D381" s="196" t="s">
        <v>905</v>
      </c>
      <c r="E381" s="1368">
        <f t="shared" si="83"/>
        <v>0</v>
      </c>
      <c r="F381" s="1710">
        <v>0</v>
      </c>
      <c r="G381" s="159"/>
      <c r="H381" s="160">
        <v>0</v>
      </c>
      <c r="I381" s="1710">
        <v>0</v>
      </c>
      <c r="J381" s="159"/>
      <c r="K381" s="160">
        <v>0</v>
      </c>
      <c r="L381" s="1368">
        <f t="shared" si="86"/>
        <v>0</v>
      </c>
      <c r="M381" s="7" t="str">
        <f t="shared" si="82"/>
        <v/>
      </c>
      <c r="N381" s="408"/>
    </row>
    <row r="382" spans="1:14" ht="18.75" hidden="1" customHeight="1">
      <c r="A382" s="23">
        <v>90</v>
      </c>
      <c r="B382" s="461"/>
      <c r="C382" s="156">
        <v>3113</v>
      </c>
      <c r="D382" s="196" t="s">
        <v>282</v>
      </c>
      <c r="E382" s="1368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8">
        <f t="shared" si="86"/>
        <v>0</v>
      </c>
      <c r="M382" s="7" t="str">
        <f t="shared" si="82"/>
        <v/>
      </c>
      <c r="N382" s="408"/>
    </row>
    <row r="383" spans="1:14" ht="33" hidden="1" customHeight="1">
      <c r="A383" s="23">
        <v>91</v>
      </c>
      <c r="B383" s="461"/>
      <c r="C383" s="156">
        <v>3118</v>
      </c>
      <c r="D383" s="196" t="s">
        <v>2042</v>
      </c>
      <c r="E383" s="1368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8">
        <f t="shared" si="86"/>
        <v>0</v>
      </c>
      <c r="M383" s="7" t="str">
        <f t="shared" si="82"/>
        <v/>
      </c>
      <c r="N383" s="408"/>
    </row>
    <row r="384" spans="1:14" ht="30.75" hidden="1" customHeight="1">
      <c r="A384" s="23"/>
      <c r="B384" s="461"/>
      <c r="C384" s="443">
        <v>3128</v>
      </c>
      <c r="D384" s="463" t="s">
        <v>2041</v>
      </c>
      <c r="E384" s="1373">
        <f t="shared" si="83"/>
        <v>0</v>
      </c>
      <c r="F384" s="445"/>
      <c r="G384" s="446"/>
      <c r="H384" s="447">
        <v>0</v>
      </c>
      <c r="I384" s="445"/>
      <c r="J384" s="446"/>
      <c r="K384" s="447">
        <v>0</v>
      </c>
      <c r="L384" s="1373">
        <f t="shared" si="86"/>
        <v>0</v>
      </c>
      <c r="M384" s="7" t="str">
        <f t="shared" si="82"/>
        <v/>
      </c>
      <c r="N384" s="408"/>
    </row>
    <row r="385" spans="1:14" ht="18.75" hidden="1" customHeight="1">
      <c r="A385" s="23">
        <v>100</v>
      </c>
      <c r="B385" s="149"/>
      <c r="C385" s="464">
        <v>3120</v>
      </c>
      <c r="D385" s="465" t="s">
        <v>1974</v>
      </c>
      <c r="E385" s="1374">
        <f t="shared" si="83"/>
        <v>0</v>
      </c>
      <c r="F385" s="466"/>
      <c r="G385" s="467"/>
      <c r="H385" s="468">
        <v>0</v>
      </c>
      <c r="I385" s="466"/>
      <c r="J385" s="467"/>
      <c r="K385" s="468">
        <v>0</v>
      </c>
      <c r="L385" s="1374">
        <f t="shared" si="86"/>
        <v>0</v>
      </c>
      <c r="M385" s="7" t="str">
        <f t="shared" si="82"/>
        <v/>
      </c>
      <c r="N385" s="408"/>
    </row>
    <row r="386" spans="1:14" s="15" customFormat="1" ht="18.75" hidden="1" customHeight="1">
      <c r="A386" s="22">
        <v>115</v>
      </c>
      <c r="B386" s="454">
        <v>3200</v>
      </c>
      <c r="C386" s="1927" t="s">
        <v>303</v>
      </c>
      <c r="D386" s="1928"/>
      <c r="E386" s="1366">
        <f t="shared" ref="E386:L386" si="87">SUM(E387:E390)</f>
        <v>0</v>
      </c>
      <c r="F386" s="455">
        <f t="shared" si="87"/>
        <v>0</v>
      </c>
      <c r="G386" s="469">
        <f t="shared" si="87"/>
        <v>0</v>
      </c>
      <c r="H386" s="441">
        <f>SUM(H387:H390)</f>
        <v>0</v>
      </c>
      <c r="I386" s="455">
        <f t="shared" si="87"/>
        <v>0</v>
      </c>
      <c r="J386" s="440">
        <f t="shared" si="87"/>
        <v>0</v>
      </c>
      <c r="K386" s="441">
        <f>SUM(K387:K390)</f>
        <v>0</v>
      </c>
      <c r="L386" s="1366">
        <f t="shared" si="87"/>
        <v>0</v>
      </c>
      <c r="M386" s="7" t="str">
        <f t="shared" si="82"/>
        <v/>
      </c>
      <c r="N386" s="408"/>
    </row>
    <row r="387" spans="1:14" ht="18.75" hidden="1" customHeight="1">
      <c r="A387" s="22">
        <v>120</v>
      </c>
      <c r="B387" s="149"/>
      <c r="C387" s="150">
        <v>3210</v>
      </c>
      <c r="D387" s="204" t="s">
        <v>283</v>
      </c>
      <c r="E387" s="1367">
        <f t="shared" si="83"/>
        <v>0</v>
      </c>
      <c r="F387" s="482">
        <v>0</v>
      </c>
      <c r="G387" s="483">
        <v>0</v>
      </c>
      <c r="H387" s="154">
        <v>0</v>
      </c>
      <c r="I387" s="482">
        <v>0</v>
      </c>
      <c r="J387" s="483">
        <v>0</v>
      </c>
      <c r="K387" s="154">
        <v>0</v>
      </c>
      <c r="L387" s="1367">
        <f>I387+J387+K387</f>
        <v>0</v>
      </c>
      <c r="M387" s="7" t="str">
        <f t="shared" si="82"/>
        <v/>
      </c>
      <c r="N387" s="408"/>
    </row>
    <row r="388" spans="1:14" ht="18.75" hidden="1" customHeight="1">
      <c r="A388" s="23">
        <v>125</v>
      </c>
      <c r="B388" s="181"/>
      <c r="C388" s="443">
        <v>3220</v>
      </c>
      <c r="D388" s="463" t="s">
        <v>245</v>
      </c>
      <c r="E388" s="1369">
        <f t="shared" si="83"/>
        <v>0</v>
      </c>
      <c r="F388" s="1452">
        <v>0</v>
      </c>
      <c r="G388" s="1453">
        <v>0</v>
      </c>
      <c r="H388" s="447">
        <v>0</v>
      </c>
      <c r="I388" s="1452">
        <v>0</v>
      </c>
      <c r="J388" s="1453">
        <v>0</v>
      </c>
      <c r="K388" s="447">
        <v>0</v>
      </c>
      <c r="L388" s="1369">
        <f>I388+J388+K388</f>
        <v>0</v>
      </c>
      <c r="M388" s="7" t="str">
        <f t="shared" si="82"/>
        <v/>
      </c>
      <c r="N388" s="408"/>
    </row>
    <row r="389" spans="1:14" ht="18.75" hidden="1" customHeight="1">
      <c r="A389" s="23">
        <v>130</v>
      </c>
      <c r="B389" s="149"/>
      <c r="C389" s="448">
        <v>3230</v>
      </c>
      <c r="D389" s="462" t="s">
        <v>304</v>
      </c>
      <c r="E389" s="1370">
        <f t="shared" si="83"/>
        <v>0</v>
      </c>
      <c r="F389" s="1454">
        <v>0</v>
      </c>
      <c r="G389" s="1455">
        <v>0</v>
      </c>
      <c r="H389" s="452">
        <v>0</v>
      </c>
      <c r="I389" s="1454">
        <v>0</v>
      </c>
      <c r="J389" s="1455">
        <v>0</v>
      </c>
      <c r="K389" s="452">
        <v>0</v>
      </c>
      <c r="L389" s="1370">
        <f>I389+J389+K389</f>
        <v>0</v>
      </c>
      <c r="M389" s="7" t="str">
        <f t="shared" si="82"/>
        <v/>
      </c>
      <c r="N389" s="408"/>
    </row>
    <row r="390" spans="1:14" ht="18.75" hidden="1" customHeight="1">
      <c r="A390" s="36">
        <v>135</v>
      </c>
      <c r="B390" s="149"/>
      <c r="C390" s="179">
        <v>3240</v>
      </c>
      <c r="D390" s="470" t="s">
        <v>305</v>
      </c>
      <c r="E390" s="1371">
        <f t="shared" si="83"/>
        <v>0</v>
      </c>
      <c r="F390" s="486">
        <v>0</v>
      </c>
      <c r="G390" s="487">
        <v>0</v>
      </c>
      <c r="H390" s="175">
        <v>0</v>
      </c>
      <c r="I390" s="486">
        <v>0</v>
      </c>
      <c r="J390" s="487">
        <v>0</v>
      </c>
      <c r="K390" s="175">
        <v>0</v>
      </c>
      <c r="L390" s="1371">
        <f>I390+J390+K390</f>
        <v>0</v>
      </c>
      <c r="M390" s="7" t="str">
        <f t="shared" si="82"/>
        <v/>
      </c>
      <c r="N390" s="408"/>
    </row>
    <row r="391" spans="1:14" s="15" customFormat="1" ht="18.75" hidden="1" customHeight="1">
      <c r="A391" s="39">
        <v>145</v>
      </c>
      <c r="B391" s="454">
        <v>6000</v>
      </c>
      <c r="C391" s="1927" t="s">
        <v>246</v>
      </c>
      <c r="D391" s="1928"/>
      <c r="E391" s="1366">
        <f t="shared" ref="E391:L391" si="88">SUM(E392:E393)</f>
        <v>0</v>
      </c>
      <c r="F391" s="455">
        <f t="shared" si="88"/>
        <v>0</v>
      </c>
      <c r="G391" s="469">
        <f t="shared" si="88"/>
        <v>0</v>
      </c>
      <c r="H391" s="441">
        <f>SUM(H392:H393)</f>
        <v>0</v>
      </c>
      <c r="I391" s="455">
        <f t="shared" si="88"/>
        <v>0</v>
      </c>
      <c r="J391" s="440">
        <f t="shared" si="88"/>
        <v>0</v>
      </c>
      <c r="K391" s="441">
        <f>SUM(K392:K393)</f>
        <v>0</v>
      </c>
      <c r="L391" s="1366">
        <f t="shared" si="88"/>
        <v>0</v>
      </c>
      <c r="M391" s="7" t="str">
        <f t="shared" si="82"/>
        <v/>
      </c>
      <c r="N391" s="408"/>
    </row>
    <row r="392" spans="1:14" ht="18.75" hidden="1" customHeight="1">
      <c r="A392" s="36">
        <v>150</v>
      </c>
      <c r="B392" s="171"/>
      <c r="C392" s="150">
        <v>6001</v>
      </c>
      <c r="D392" s="151" t="s">
        <v>321</v>
      </c>
      <c r="E392" s="1367">
        <f t="shared" si="83"/>
        <v>0</v>
      </c>
      <c r="F392" s="482">
        <v>0</v>
      </c>
      <c r="G392" s="1666">
        <v>0</v>
      </c>
      <c r="H392" s="154">
        <v>0</v>
      </c>
      <c r="I392" s="482">
        <v>0</v>
      </c>
      <c r="J392" s="1666">
        <v>0</v>
      </c>
      <c r="K392" s="154">
        <v>0</v>
      </c>
      <c r="L392" s="1367">
        <f>I392+J392+K392</f>
        <v>0</v>
      </c>
      <c r="M392" s="7" t="str">
        <f t="shared" si="82"/>
        <v/>
      </c>
      <c r="N392" s="408"/>
    </row>
    <row r="393" spans="1:14" ht="18.75" hidden="1" customHeight="1">
      <c r="A393" s="36">
        <v>155</v>
      </c>
      <c r="B393" s="171"/>
      <c r="C393" s="179">
        <v>6002</v>
      </c>
      <c r="D393" s="186" t="s">
        <v>322</v>
      </c>
      <c r="E393" s="1371">
        <f t="shared" si="83"/>
        <v>0</v>
      </c>
      <c r="F393" s="1664">
        <v>0</v>
      </c>
      <c r="G393" s="1665">
        <v>0</v>
      </c>
      <c r="H393" s="468">
        <v>0</v>
      </c>
      <c r="I393" s="1664">
        <v>0</v>
      </c>
      <c r="J393" s="1665">
        <v>0</v>
      </c>
      <c r="K393" s="175">
        <v>0</v>
      </c>
      <c r="L393" s="1371">
        <f>I393+J393+K393</f>
        <v>0</v>
      </c>
      <c r="M393" s="7" t="str">
        <f t="shared" si="82"/>
        <v/>
      </c>
      <c r="N393" s="408"/>
    </row>
    <row r="394" spans="1:14" s="15" customFormat="1" ht="18.75" customHeight="1">
      <c r="A394" s="39">
        <v>160</v>
      </c>
      <c r="B394" s="454">
        <v>6100</v>
      </c>
      <c r="C394" s="1927" t="s">
        <v>247</v>
      </c>
      <c r="D394" s="1928"/>
      <c r="E394" s="1366">
        <f t="shared" ref="E394:L394" si="89">SUM(E395:E398)</f>
        <v>0</v>
      </c>
      <c r="F394" s="455">
        <f t="shared" si="89"/>
        <v>0</v>
      </c>
      <c r="G394" s="469">
        <f t="shared" si="89"/>
        <v>0</v>
      </c>
      <c r="H394" s="441">
        <f>SUM(H395:H398)</f>
        <v>0</v>
      </c>
      <c r="I394" s="455">
        <f t="shared" si="89"/>
        <v>4484</v>
      </c>
      <c r="J394" s="440">
        <f t="shared" si="89"/>
        <v>0</v>
      </c>
      <c r="K394" s="441">
        <f>SUM(K395:K398)</f>
        <v>0</v>
      </c>
      <c r="L394" s="1366">
        <f t="shared" si="89"/>
        <v>4484</v>
      </c>
      <c r="M394" s="7">
        <f t="shared" si="82"/>
        <v>1</v>
      </c>
      <c r="N394" s="408"/>
    </row>
    <row r="395" spans="1:14" ht="18.75" customHeight="1">
      <c r="A395" s="36">
        <v>165</v>
      </c>
      <c r="B395" s="171"/>
      <c r="C395" s="150">
        <v>6101</v>
      </c>
      <c r="D395" s="151" t="s">
        <v>684</v>
      </c>
      <c r="E395" s="1367">
        <f t="shared" si="83"/>
        <v>0</v>
      </c>
      <c r="F395" s="152"/>
      <c r="G395" s="153"/>
      <c r="H395" s="154">
        <v>0</v>
      </c>
      <c r="I395" s="152">
        <v>4484</v>
      </c>
      <c r="J395" s="153"/>
      <c r="K395" s="154">
        <v>0</v>
      </c>
      <c r="L395" s="1367">
        <f>I395+J395+K395</f>
        <v>4484</v>
      </c>
      <c r="M395" s="7">
        <f t="shared" si="82"/>
        <v>1</v>
      </c>
      <c r="N395" s="408"/>
    </row>
    <row r="396" spans="1:14" ht="18.75" hidden="1" customHeight="1">
      <c r="A396" s="36">
        <v>170</v>
      </c>
      <c r="B396" s="171"/>
      <c r="C396" s="156">
        <v>6102</v>
      </c>
      <c r="D396" s="184" t="s">
        <v>685</v>
      </c>
      <c r="E396" s="1368">
        <f t="shared" si="83"/>
        <v>0</v>
      </c>
      <c r="F396" s="158"/>
      <c r="G396" s="159"/>
      <c r="H396" s="160">
        <v>0</v>
      </c>
      <c r="I396" s="158"/>
      <c r="J396" s="159"/>
      <c r="K396" s="160">
        <v>0</v>
      </c>
      <c r="L396" s="1368">
        <f>I396+J396+K396</f>
        <v>0</v>
      </c>
      <c r="M396" s="7" t="str">
        <f t="shared" si="82"/>
        <v/>
      </c>
      <c r="N396" s="408"/>
    </row>
    <row r="397" spans="1:14" ht="18.75" hidden="1" customHeight="1">
      <c r="A397" s="36"/>
      <c r="B397" s="181"/>
      <c r="C397" s="156">
        <v>6105</v>
      </c>
      <c r="D397" s="184" t="s">
        <v>589</v>
      </c>
      <c r="E397" s="1375">
        <f t="shared" si="83"/>
        <v>0</v>
      </c>
      <c r="F397" s="158"/>
      <c r="G397" s="159"/>
      <c r="H397" s="160">
        <v>0</v>
      </c>
      <c r="I397" s="158"/>
      <c r="J397" s="159"/>
      <c r="K397" s="160">
        <v>0</v>
      </c>
      <c r="L397" s="1375">
        <f>I397+J397+K397</f>
        <v>0</v>
      </c>
      <c r="M397" s="7" t="str">
        <f t="shared" si="82"/>
        <v/>
      </c>
      <c r="N397" s="408"/>
    </row>
    <row r="398" spans="1:14" ht="18.75" hidden="1" customHeight="1">
      <c r="A398" s="36">
        <v>180</v>
      </c>
      <c r="B398" s="181"/>
      <c r="C398" s="179">
        <v>6109</v>
      </c>
      <c r="D398" s="471" t="s">
        <v>248</v>
      </c>
      <c r="E398" s="1376">
        <f t="shared" si="83"/>
        <v>0</v>
      </c>
      <c r="F398" s="173"/>
      <c r="G398" s="174"/>
      <c r="H398" s="175">
        <v>0</v>
      </c>
      <c r="I398" s="173"/>
      <c r="J398" s="174"/>
      <c r="K398" s="175">
        <v>0</v>
      </c>
      <c r="L398" s="1376">
        <f>I398+J398+K398</f>
        <v>0</v>
      </c>
      <c r="M398" s="7" t="str">
        <f t="shared" si="82"/>
        <v/>
      </c>
      <c r="N398" s="408"/>
    </row>
    <row r="399" spans="1:14" s="15" customFormat="1" ht="18.75" hidden="1" customHeight="1">
      <c r="A399" s="22">
        <v>185</v>
      </c>
      <c r="B399" s="454">
        <v>6200</v>
      </c>
      <c r="C399" s="1927" t="s">
        <v>249</v>
      </c>
      <c r="D399" s="1928"/>
      <c r="E399" s="1366">
        <f t="shared" ref="E399:L399" si="90">SUM(E400:E401)</f>
        <v>0</v>
      </c>
      <c r="F399" s="455">
        <f t="shared" si="90"/>
        <v>0</v>
      </c>
      <c r="G399" s="469">
        <f t="shared" si="90"/>
        <v>0</v>
      </c>
      <c r="H399" s="441">
        <f>SUM(H400:H401)</f>
        <v>0</v>
      </c>
      <c r="I399" s="455">
        <f t="shared" si="90"/>
        <v>0</v>
      </c>
      <c r="J399" s="440">
        <f t="shared" si="90"/>
        <v>0</v>
      </c>
      <c r="K399" s="441">
        <f>SUM(K400:K401)</f>
        <v>0</v>
      </c>
      <c r="L399" s="1366">
        <f t="shared" si="90"/>
        <v>0</v>
      </c>
      <c r="M399" s="7" t="str">
        <f t="shared" si="82"/>
        <v/>
      </c>
      <c r="N399" s="408"/>
    </row>
    <row r="400" spans="1:14" ht="18.75" hidden="1" customHeight="1">
      <c r="A400" s="23">
        <v>190</v>
      </c>
      <c r="B400" s="472"/>
      <c r="C400" s="150">
        <v>6201</v>
      </c>
      <c r="D400" s="473" t="s">
        <v>1975</v>
      </c>
      <c r="E400" s="1367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7">
        <f>I400+J400+K400</f>
        <v>0</v>
      </c>
      <c r="M400" s="7" t="str">
        <f t="shared" si="82"/>
        <v/>
      </c>
      <c r="N400" s="408"/>
    </row>
    <row r="401" spans="1:14" ht="18.75" hidden="1" customHeight="1">
      <c r="A401" s="23">
        <v>195</v>
      </c>
      <c r="B401" s="149"/>
      <c r="C401" s="179">
        <v>6202</v>
      </c>
      <c r="D401" s="474" t="s">
        <v>2047</v>
      </c>
      <c r="E401" s="1371">
        <f t="shared" si="83"/>
        <v>0</v>
      </c>
      <c r="F401" s="173"/>
      <c r="G401" s="174"/>
      <c r="H401" s="175">
        <v>0</v>
      </c>
      <c r="I401" s="173"/>
      <c r="J401" s="174"/>
      <c r="K401" s="175">
        <v>0</v>
      </c>
      <c r="L401" s="1371">
        <f>I401+J401+K401</f>
        <v>0</v>
      </c>
      <c r="M401" s="7" t="str">
        <f t="shared" si="82"/>
        <v/>
      </c>
      <c r="N401" s="408"/>
    </row>
    <row r="402" spans="1:14" s="15" customFormat="1" ht="18.75" hidden="1" customHeight="1">
      <c r="A402" s="22">
        <v>200</v>
      </c>
      <c r="B402" s="454">
        <v>6300</v>
      </c>
      <c r="C402" s="1927" t="s">
        <v>250</v>
      </c>
      <c r="D402" s="1928"/>
      <c r="E402" s="1366">
        <f t="shared" ref="E402:L402" si="91">SUM(E403:E404)</f>
        <v>0</v>
      </c>
      <c r="F402" s="455">
        <f t="shared" si="91"/>
        <v>0</v>
      </c>
      <c r="G402" s="469">
        <f t="shared" si="91"/>
        <v>0</v>
      </c>
      <c r="H402" s="441">
        <f>SUM(H403:H404)</f>
        <v>0</v>
      </c>
      <c r="I402" s="455">
        <f t="shared" si="91"/>
        <v>0</v>
      </c>
      <c r="J402" s="440">
        <f t="shared" si="91"/>
        <v>0</v>
      </c>
      <c r="K402" s="441">
        <f>SUM(K403:K404)</f>
        <v>0</v>
      </c>
      <c r="L402" s="1366">
        <f t="shared" si="91"/>
        <v>0</v>
      </c>
      <c r="M402" s="7" t="str">
        <f t="shared" si="82"/>
        <v/>
      </c>
      <c r="N402" s="408"/>
    </row>
    <row r="403" spans="1:14" ht="18.75" hidden="1" customHeight="1">
      <c r="A403" s="23">
        <v>205</v>
      </c>
      <c r="B403" s="149"/>
      <c r="C403" s="150">
        <v>6301</v>
      </c>
      <c r="D403" s="473" t="s">
        <v>1975</v>
      </c>
      <c r="E403" s="1367">
        <f t="shared" si="83"/>
        <v>0</v>
      </c>
      <c r="F403" s="482">
        <v>0</v>
      </c>
      <c r="G403" s="1666">
        <v>0</v>
      </c>
      <c r="H403" s="154">
        <v>0</v>
      </c>
      <c r="I403" s="482">
        <v>0</v>
      </c>
      <c r="J403" s="1666">
        <v>0</v>
      </c>
      <c r="K403" s="154">
        <v>0</v>
      </c>
      <c r="L403" s="1367">
        <f>I403+J403+K403</f>
        <v>0</v>
      </c>
      <c r="M403" s="7" t="str">
        <f t="shared" si="82"/>
        <v/>
      </c>
      <c r="N403" s="408"/>
    </row>
    <row r="404" spans="1:14" ht="18.75" hidden="1" customHeight="1">
      <c r="A404" s="36">
        <v>206</v>
      </c>
      <c r="B404" s="149"/>
      <c r="C404" s="179">
        <v>6302</v>
      </c>
      <c r="D404" s="474" t="s">
        <v>323</v>
      </c>
      <c r="E404" s="1371">
        <f t="shared" si="83"/>
        <v>0</v>
      </c>
      <c r="F404" s="1664">
        <v>0</v>
      </c>
      <c r="G404" s="1665">
        <v>0</v>
      </c>
      <c r="H404" s="468">
        <v>0</v>
      </c>
      <c r="I404" s="1664">
        <v>0</v>
      </c>
      <c r="J404" s="1665">
        <v>0</v>
      </c>
      <c r="K404" s="175">
        <v>0</v>
      </c>
      <c r="L404" s="1371">
        <f>I404+J404+K404</f>
        <v>0</v>
      </c>
      <c r="M404" s="7" t="str">
        <f t="shared" si="82"/>
        <v/>
      </c>
      <c r="N404" s="408"/>
    </row>
    <row r="405" spans="1:14" s="46" customFormat="1" ht="32.25" hidden="1" customHeight="1">
      <c r="A405" s="26">
        <v>210</v>
      </c>
      <c r="B405" s="454">
        <v>6400</v>
      </c>
      <c r="C405" s="1927" t="s">
        <v>2174</v>
      </c>
      <c r="D405" s="1928"/>
      <c r="E405" s="1366">
        <f t="shared" ref="E405:L405" si="92">SUM(E406:E407)</f>
        <v>0</v>
      </c>
      <c r="F405" s="455">
        <f t="shared" si="92"/>
        <v>0</v>
      </c>
      <c r="G405" s="469">
        <f t="shared" si="92"/>
        <v>0</v>
      </c>
      <c r="H405" s="441">
        <f>SUM(H406:H407)</f>
        <v>0</v>
      </c>
      <c r="I405" s="455">
        <f t="shared" si="92"/>
        <v>0</v>
      </c>
      <c r="J405" s="440">
        <f t="shared" si="92"/>
        <v>0</v>
      </c>
      <c r="K405" s="441">
        <f>SUM(K406:K407)</f>
        <v>0</v>
      </c>
      <c r="L405" s="1366">
        <f t="shared" si="92"/>
        <v>0</v>
      </c>
      <c r="M405" s="7" t="str">
        <f t="shared" si="82"/>
        <v/>
      </c>
      <c r="N405" s="408"/>
    </row>
    <row r="406" spans="1:14" s="35" customFormat="1" hidden="1">
      <c r="A406" s="28">
        <v>211</v>
      </c>
      <c r="B406" s="181"/>
      <c r="C406" s="475">
        <v>6401</v>
      </c>
      <c r="D406" s="476" t="s">
        <v>324</v>
      </c>
      <c r="E406" s="1367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7">
        <f>I406+J406+K406</f>
        <v>0</v>
      </c>
      <c r="M406" s="7" t="str">
        <f t="shared" si="82"/>
        <v/>
      </c>
      <c r="N406" s="408"/>
    </row>
    <row r="407" spans="1:14" s="35" customFormat="1" hidden="1">
      <c r="A407" s="28">
        <v>212</v>
      </c>
      <c r="B407" s="181"/>
      <c r="C407" s="477">
        <v>6402</v>
      </c>
      <c r="D407" s="478" t="s">
        <v>323</v>
      </c>
      <c r="E407" s="1371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71">
        <f>I407+J407+K407</f>
        <v>0</v>
      </c>
      <c r="M407" s="7" t="str">
        <f t="shared" si="82"/>
        <v/>
      </c>
      <c r="N407" s="408"/>
    </row>
    <row r="408" spans="1:14" s="46" customFormat="1" ht="18.75" hidden="1" customHeight="1">
      <c r="A408" s="47">
        <v>213</v>
      </c>
      <c r="B408" s="454">
        <v>6500</v>
      </c>
      <c r="C408" s="1927" t="s">
        <v>667</v>
      </c>
      <c r="D408" s="1928"/>
      <c r="E408" s="1366">
        <f t="shared" si="83"/>
        <v>0</v>
      </c>
      <c r="F408" s="479"/>
      <c r="G408" s="480"/>
      <c r="H408" s="1462">
        <v>0</v>
      </c>
      <c r="I408" s="479"/>
      <c r="J408" s="480"/>
      <c r="K408" s="1462">
        <v>0</v>
      </c>
      <c r="L408" s="1366">
        <f>I408+J408+K408</f>
        <v>0</v>
      </c>
      <c r="M408" s="7" t="str">
        <f t="shared" si="82"/>
        <v/>
      </c>
      <c r="N408" s="408"/>
    </row>
    <row r="409" spans="1:14" s="15" customFormat="1" ht="18.75" hidden="1" customHeight="1">
      <c r="A409" s="22">
        <v>215</v>
      </c>
      <c r="B409" s="454">
        <v>6600</v>
      </c>
      <c r="C409" s="1927" t="s">
        <v>668</v>
      </c>
      <c r="D409" s="1928"/>
      <c r="E409" s="1366">
        <f t="shared" ref="E409:L409" si="93">SUM(E410:E411)</f>
        <v>0</v>
      </c>
      <c r="F409" s="455">
        <f t="shared" si="93"/>
        <v>0</v>
      </c>
      <c r="G409" s="469">
        <f t="shared" si="93"/>
        <v>0</v>
      </c>
      <c r="H409" s="441">
        <f>SUM(H410:H411)</f>
        <v>0</v>
      </c>
      <c r="I409" s="455">
        <f t="shared" si="93"/>
        <v>0</v>
      </c>
      <c r="J409" s="440">
        <f t="shared" si="93"/>
        <v>0</v>
      </c>
      <c r="K409" s="441">
        <f>SUM(K410:K411)</f>
        <v>0</v>
      </c>
      <c r="L409" s="1366">
        <f t="shared" si="93"/>
        <v>0</v>
      </c>
      <c r="M409" s="7" t="str">
        <f t="shared" si="82"/>
        <v/>
      </c>
      <c r="N409" s="408"/>
    </row>
    <row r="410" spans="1:14" ht="18.75" hidden="1" customHeight="1">
      <c r="A410" s="25">
        <v>220</v>
      </c>
      <c r="B410" s="149"/>
      <c r="C410" s="150">
        <v>6601</v>
      </c>
      <c r="D410" s="151" t="s">
        <v>251</v>
      </c>
      <c r="E410" s="1367">
        <f t="shared" si="83"/>
        <v>0</v>
      </c>
      <c r="F410" s="152"/>
      <c r="G410" s="153"/>
      <c r="H410" s="154">
        <v>0</v>
      </c>
      <c r="I410" s="152"/>
      <c r="J410" s="153"/>
      <c r="K410" s="154">
        <v>0</v>
      </c>
      <c r="L410" s="1367">
        <f>I410+J410+K410</f>
        <v>0</v>
      </c>
      <c r="M410" s="7" t="str">
        <f t="shared" si="82"/>
        <v/>
      </c>
      <c r="N410" s="408"/>
    </row>
    <row r="411" spans="1:14" ht="18.75" hidden="1" customHeight="1">
      <c r="A411" s="23">
        <v>225</v>
      </c>
      <c r="B411" s="149"/>
      <c r="C411" s="179">
        <v>6602</v>
      </c>
      <c r="D411" s="186" t="s">
        <v>252</v>
      </c>
      <c r="E411" s="1371">
        <f t="shared" si="83"/>
        <v>0</v>
      </c>
      <c r="F411" s="173"/>
      <c r="G411" s="174"/>
      <c r="H411" s="468">
        <v>0</v>
      </c>
      <c r="I411" s="173"/>
      <c r="J411" s="174"/>
      <c r="K411" s="175">
        <v>0</v>
      </c>
      <c r="L411" s="1371">
        <f>I411+J411+K411</f>
        <v>0</v>
      </c>
      <c r="M411" s="7" t="str">
        <f t="shared" si="82"/>
        <v/>
      </c>
      <c r="N411" s="408"/>
    </row>
    <row r="412" spans="1:14" s="15" customFormat="1" ht="18.75" hidden="1" customHeight="1">
      <c r="A412" s="22">
        <v>215</v>
      </c>
      <c r="B412" s="454">
        <v>6700</v>
      </c>
      <c r="C412" s="1927" t="s">
        <v>686</v>
      </c>
      <c r="D412" s="1928"/>
      <c r="E412" s="1366">
        <f t="shared" ref="E412:L412" si="94">SUM(E413:E414)</f>
        <v>0</v>
      </c>
      <c r="F412" s="455">
        <f t="shared" si="94"/>
        <v>0</v>
      </c>
      <c r="G412" s="469">
        <f t="shared" si="94"/>
        <v>0</v>
      </c>
      <c r="H412" s="441">
        <f>SUM(H413:H414)</f>
        <v>0</v>
      </c>
      <c r="I412" s="455">
        <f t="shared" si="94"/>
        <v>0</v>
      </c>
      <c r="J412" s="440">
        <f t="shared" si="94"/>
        <v>0</v>
      </c>
      <c r="K412" s="441">
        <f>SUM(K413:K414)</f>
        <v>0</v>
      </c>
      <c r="L412" s="1366">
        <f t="shared" si="94"/>
        <v>0</v>
      </c>
      <c r="M412" s="7" t="str">
        <f t="shared" si="82"/>
        <v/>
      </c>
      <c r="N412" s="408"/>
    </row>
    <row r="413" spans="1:14" ht="18.75" hidden="1" customHeight="1">
      <c r="A413" s="25">
        <v>220</v>
      </c>
      <c r="B413" s="149"/>
      <c r="C413" s="150">
        <v>6701</v>
      </c>
      <c r="D413" s="151" t="s">
        <v>687</v>
      </c>
      <c r="E413" s="1367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7">
        <f>I413+J413+K413</f>
        <v>0</v>
      </c>
      <c r="M413" s="7" t="str">
        <f t="shared" si="82"/>
        <v/>
      </c>
      <c r="N413" s="408"/>
    </row>
    <row r="414" spans="1:14" ht="18.75" hidden="1" customHeight="1">
      <c r="A414" s="23">
        <v>225</v>
      </c>
      <c r="B414" s="149"/>
      <c r="C414" s="179">
        <v>6702</v>
      </c>
      <c r="D414" s="186" t="s">
        <v>306</v>
      </c>
      <c r="E414" s="1371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71">
        <f>I414+J414+K414</f>
        <v>0</v>
      </c>
      <c r="M414" s="7" t="str">
        <f t="shared" si="82"/>
        <v/>
      </c>
      <c r="N414" s="408"/>
    </row>
    <row r="415" spans="1:14" s="15" customFormat="1" ht="18.75" hidden="1" customHeight="1">
      <c r="A415" s="22">
        <v>230</v>
      </c>
      <c r="B415" s="454">
        <v>6900</v>
      </c>
      <c r="C415" s="1927" t="s">
        <v>253</v>
      </c>
      <c r="D415" s="1928"/>
      <c r="E415" s="1366">
        <f t="shared" ref="E415:L415" si="95">SUM(E416:E421)</f>
        <v>0</v>
      </c>
      <c r="F415" s="455">
        <f t="shared" si="95"/>
        <v>0</v>
      </c>
      <c r="G415" s="469">
        <f t="shared" si="95"/>
        <v>0</v>
      </c>
      <c r="H415" s="441">
        <f>SUM(H416:H421)</f>
        <v>0</v>
      </c>
      <c r="I415" s="455">
        <f t="shared" si="95"/>
        <v>0</v>
      </c>
      <c r="J415" s="440">
        <f t="shared" si="95"/>
        <v>0</v>
      </c>
      <c r="K415" s="441">
        <f>SUM(K416:K421)</f>
        <v>0</v>
      </c>
      <c r="L415" s="1366">
        <f t="shared" si="95"/>
        <v>0</v>
      </c>
      <c r="M415" s="7" t="str">
        <f t="shared" si="82"/>
        <v/>
      </c>
      <c r="N415" s="408"/>
    </row>
    <row r="416" spans="1:14" ht="18.75" hidden="1" customHeight="1">
      <c r="A416" s="23">
        <v>235</v>
      </c>
      <c r="B416" s="195"/>
      <c r="C416" s="481">
        <v>6901</v>
      </c>
      <c r="D416" s="151" t="s">
        <v>688</v>
      </c>
      <c r="E416" s="1377">
        <f t="shared" si="83"/>
        <v>0</v>
      </c>
      <c r="F416" s="482">
        <v>0</v>
      </c>
      <c r="G416" s="483">
        <v>0</v>
      </c>
      <c r="H416" s="154">
        <v>0</v>
      </c>
      <c r="I416" s="482">
        <v>0</v>
      </c>
      <c r="J416" s="483">
        <v>0</v>
      </c>
      <c r="K416" s="154">
        <v>0</v>
      </c>
      <c r="L416" s="1377">
        <f t="shared" ref="L416:L421" si="96">I416+J416+K416</f>
        <v>0</v>
      </c>
      <c r="M416" s="7" t="str">
        <f t="shared" si="82"/>
        <v/>
      </c>
      <c r="N416" s="408"/>
    </row>
    <row r="417" spans="1:14" ht="18.75" hidden="1" customHeight="1">
      <c r="A417" s="23">
        <v>240</v>
      </c>
      <c r="B417" s="195"/>
      <c r="C417" s="156">
        <v>6905</v>
      </c>
      <c r="D417" s="184" t="s">
        <v>669</v>
      </c>
      <c r="E417" s="1375">
        <f t="shared" si="83"/>
        <v>0</v>
      </c>
      <c r="F417" s="484">
        <v>0</v>
      </c>
      <c r="G417" s="485">
        <v>0</v>
      </c>
      <c r="H417" s="160">
        <v>0</v>
      </c>
      <c r="I417" s="484">
        <v>0</v>
      </c>
      <c r="J417" s="485">
        <v>0</v>
      </c>
      <c r="K417" s="160">
        <v>0</v>
      </c>
      <c r="L417" s="1375">
        <f t="shared" si="96"/>
        <v>0</v>
      </c>
      <c r="M417" s="7" t="str">
        <f t="shared" si="82"/>
        <v/>
      </c>
      <c r="N417" s="408"/>
    </row>
    <row r="418" spans="1:14" ht="18.75" hidden="1" customHeight="1">
      <c r="A418" s="23">
        <v>240</v>
      </c>
      <c r="B418" s="195"/>
      <c r="C418" s="156">
        <v>6906</v>
      </c>
      <c r="D418" s="184" t="s">
        <v>164</v>
      </c>
      <c r="E418" s="1375">
        <f t="shared" si="83"/>
        <v>0</v>
      </c>
      <c r="F418" s="484">
        <v>0</v>
      </c>
      <c r="G418" s="485">
        <v>0</v>
      </c>
      <c r="H418" s="160">
        <v>0</v>
      </c>
      <c r="I418" s="484">
        <v>0</v>
      </c>
      <c r="J418" s="485">
        <v>0</v>
      </c>
      <c r="K418" s="160">
        <v>0</v>
      </c>
      <c r="L418" s="1375">
        <f t="shared" si="96"/>
        <v>0</v>
      </c>
      <c r="M418" s="7" t="str">
        <f t="shared" si="82"/>
        <v/>
      </c>
      <c r="N418" s="408"/>
    </row>
    <row r="419" spans="1:14" ht="18.75" hidden="1" customHeight="1">
      <c r="A419" s="23">
        <v>245</v>
      </c>
      <c r="B419" s="195"/>
      <c r="C419" s="156">
        <v>6907</v>
      </c>
      <c r="D419" s="184" t="s">
        <v>906</v>
      </c>
      <c r="E419" s="1375">
        <f t="shared" si="83"/>
        <v>0</v>
      </c>
      <c r="F419" s="484">
        <v>0</v>
      </c>
      <c r="G419" s="485">
        <v>0</v>
      </c>
      <c r="H419" s="160">
        <v>0</v>
      </c>
      <c r="I419" s="484">
        <v>0</v>
      </c>
      <c r="J419" s="485">
        <v>0</v>
      </c>
      <c r="K419" s="160">
        <v>0</v>
      </c>
      <c r="L419" s="1375">
        <f t="shared" si="96"/>
        <v>0</v>
      </c>
      <c r="M419" s="7" t="str">
        <f t="shared" si="82"/>
        <v/>
      </c>
      <c r="N419" s="408"/>
    </row>
    <row r="420" spans="1:14" ht="18.75" hidden="1" customHeight="1">
      <c r="A420" s="23">
        <v>250</v>
      </c>
      <c r="B420" s="195"/>
      <c r="C420" s="156">
        <v>6908</v>
      </c>
      <c r="D420" s="184" t="s">
        <v>689</v>
      </c>
      <c r="E420" s="1375">
        <f t="shared" si="83"/>
        <v>0</v>
      </c>
      <c r="F420" s="484">
        <v>0</v>
      </c>
      <c r="G420" s="485">
        <v>0</v>
      </c>
      <c r="H420" s="160">
        <v>0</v>
      </c>
      <c r="I420" s="484">
        <v>0</v>
      </c>
      <c r="J420" s="485">
        <v>0</v>
      </c>
      <c r="K420" s="160">
        <v>0</v>
      </c>
      <c r="L420" s="1375">
        <f t="shared" si="96"/>
        <v>0</v>
      </c>
      <c r="M420" s="7" t="str">
        <f t="shared" si="82"/>
        <v/>
      </c>
      <c r="N420" s="408"/>
    </row>
    <row r="421" spans="1:14" ht="18.75" hidden="1" customHeight="1">
      <c r="A421" s="23">
        <v>255</v>
      </c>
      <c r="B421" s="195"/>
      <c r="C421" s="179">
        <v>6909</v>
      </c>
      <c r="D421" s="186" t="s">
        <v>690</v>
      </c>
      <c r="E421" s="1371">
        <f t="shared" si="83"/>
        <v>0</v>
      </c>
      <c r="F421" s="486">
        <v>0</v>
      </c>
      <c r="G421" s="487">
        <v>0</v>
      </c>
      <c r="H421" s="175">
        <v>0</v>
      </c>
      <c r="I421" s="486">
        <v>0</v>
      </c>
      <c r="J421" s="487">
        <v>0</v>
      </c>
      <c r="K421" s="175">
        <v>0</v>
      </c>
      <c r="L421" s="1371">
        <f t="shared" si="96"/>
        <v>0</v>
      </c>
      <c r="M421" s="7" t="str">
        <f t="shared" si="82"/>
        <v/>
      </c>
      <c r="N421" s="408"/>
    </row>
    <row r="422" spans="1:14" ht="20.25" customHeight="1" thickBot="1">
      <c r="A422" s="36">
        <v>260</v>
      </c>
      <c r="B422" s="488" t="s">
        <v>892</v>
      </c>
      <c r="C422" s="489" t="s">
        <v>727</v>
      </c>
      <c r="D422" s="490" t="s">
        <v>907</v>
      </c>
      <c r="E422" s="508">
        <f t="shared" ref="E422:L422" si="97">SUM(E364,E378,E386,E391,E394,E399,E402,E405,E408,E409,E412,E415)</f>
        <v>0</v>
      </c>
      <c r="F422" s="491">
        <f t="shared" si="97"/>
        <v>0</v>
      </c>
      <c r="G422" s="492">
        <f t="shared" si="97"/>
        <v>0</v>
      </c>
      <c r="H422" s="511">
        <f>SUM(H364,H378,H386,H391,H394,H399,H402,H405,H408,H409,H412,H415)</f>
        <v>0</v>
      </c>
      <c r="I422" s="491">
        <f t="shared" si="97"/>
        <v>1040341</v>
      </c>
      <c r="J422" s="492">
        <f t="shared" si="97"/>
        <v>0</v>
      </c>
      <c r="K422" s="511">
        <f>SUM(K364,K378,K386,K391,K394,K399,K402,K405,K408,K409,K412,K415)</f>
        <v>0</v>
      </c>
      <c r="L422" s="508">
        <f t="shared" si="97"/>
        <v>1040341</v>
      </c>
      <c r="M422" s="7">
        <f t="shared" si="82"/>
        <v>1</v>
      </c>
      <c r="N422" s="405"/>
    </row>
    <row r="423" spans="1:14" ht="16.5" hidden="1" thickTop="1">
      <c r="A423" s="36">
        <v>261</v>
      </c>
      <c r="B423" s="493" t="s">
        <v>908</v>
      </c>
      <c r="C423" s="494"/>
      <c r="D423" s="495" t="s">
        <v>666</v>
      </c>
      <c r="E423" s="1378"/>
      <c r="F423" s="496"/>
      <c r="G423" s="496"/>
      <c r="H423" s="497"/>
      <c r="I423" s="496"/>
      <c r="J423" s="498"/>
      <c r="K423" s="498"/>
      <c r="L423" s="1393"/>
      <c r="M423" s="7" t="str">
        <f t="shared" si="82"/>
        <v/>
      </c>
      <c r="N423" s="405"/>
    </row>
    <row r="424" spans="1:14" ht="16.5" hidden="1" thickTop="1">
      <c r="A424" s="36">
        <v>262</v>
      </c>
      <c r="B424" s="499"/>
      <c r="C424" s="500"/>
      <c r="D424" s="501"/>
      <c r="E424" s="1379"/>
      <c r="F424" s="502"/>
      <c r="G424" s="502"/>
      <c r="H424" s="503"/>
      <c r="I424" s="502"/>
      <c r="J424" s="504"/>
      <c r="K424" s="504"/>
      <c r="L424" s="1394"/>
      <c r="M424" s="7" t="str">
        <f t="shared" si="82"/>
        <v/>
      </c>
      <c r="N424" s="405"/>
    </row>
    <row r="425" spans="1:14" s="15" customFormat="1" ht="18" hidden="1" customHeight="1">
      <c r="A425" s="39">
        <v>265</v>
      </c>
      <c r="B425" s="454">
        <v>7400</v>
      </c>
      <c r="C425" s="1927" t="s">
        <v>753</v>
      </c>
      <c r="D425" s="1928"/>
      <c r="E425" s="1366">
        <f>F425+G425+H425</f>
        <v>0</v>
      </c>
      <c r="F425" s="479"/>
      <c r="G425" s="480"/>
      <c r="H425" s="1462">
        <v>0</v>
      </c>
      <c r="I425" s="479"/>
      <c r="J425" s="480"/>
      <c r="K425" s="1462">
        <v>0</v>
      </c>
      <c r="L425" s="1366">
        <f>I425+J425+K425</f>
        <v>0</v>
      </c>
      <c r="M425" s="7" t="str">
        <f t="shared" si="82"/>
        <v/>
      </c>
      <c r="N425" s="405"/>
    </row>
    <row r="426" spans="1:14" s="15" customFormat="1" ht="18" hidden="1" customHeight="1">
      <c r="A426" s="39">
        <v>275</v>
      </c>
      <c r="B426" s="454">
        <v>7500</v>
      </c>
      <c r="C426" s="1927" t="s">
        <v>691</v>
      </c>
      <c r="D426" s="1928"/>
      <c r="E426" s="1366">
        <f>F426+G426+H426</f>
        <v>0</v>
      </c>
      <c r="F426" s="479"/>
      <c r="G426" s="480"/>
      <c r="H426" s="1462">
        <v>0</v>
      </c>
      <c r="I426" s="479"/>
      <c r="J426" s="480"/>
      <c r="K426" s="1462">
        <v>0</v>
      </c>
      <c r="L426" s="1366">
        <f>I426+J426+K426</f>
        <v>0</v>
      </c>
      <c r="M426" s="7" t="str">
        <f t="shared" si="82"/>
        <v/>
      </c>
      <c r="N426" s="405"/>
    </row>
    <row r="427" spans="1:14" s="15" customFormat="1" ht="18" hidden="1" customHeight="1">
      <c r="A427" s="22">
        <v>285</v>
      </c>
      <c r="B427" s="454">
        <v>7600</v>
      </c>
      <c r="C427" s="1927" t="s">
        <v>254</v>
      </c>
      <c r="D427" s="1928"/>
      <c r="E427" s="1366">
        <f>F427+G427+H427</f>
        <v>0</v>
      </c>
      <c r="F427" s="479"/>
      <c r="G427" s="480"/>
      <c r="H427" s="1462">
        <v>0</v>
      </c>
      <c r="I427" s="479"/>
      <c r="J427" s="480"/>
      <c r="K427" s="1462">
        <v>0</v>
      </c>
      <c r="L427" s="1366">
        <f>I427+J427+K427</f>
        <v>0</v>
      </c>
      <c r="M427" s="7" t="str">
        <f t="shared" si="82"/>
        <v/>
      </c>
      <c r="N427" s="405"/>
    </row>
    <row r="428" spans="1:14" s="15" customFormat="1" ht="18" hidden="1" customHeight="1">
      <c r="A428" s="22">
        <v>295</v>
      </c>
      <c r="B428" s="454">
        <v>7700</v>
      </c>
      <c r="C428" s="1927" t="s">
        <v>670</v>
      </c>
      <c r="D428" s="1928"/>
      <c r="E428" s="1366">
        <f>F428+G428+H428</f>
        <v>0</v>
      </c>
      <c r="F428" s="1657">
        <v>0</v>
      </c>
      <c r="G428" s="1658">
        <v>0</v>
      </c>
      <c r="H428" s="1656">
        <v>0</v>
      </c>
      <c r="I428" s="1657">
        <v>0</v>
      </c>
      <c r="J428" s="1658">
        <v>0</v>
      </c>
      <c r="K428" s="1656">
        <v>0</v>
      </c>
      <c r="L428" s="1366">
        <f>I428+J428+K428</f>
        <v>0</v>
      </c>
      <c r="M428" s="7" t="str">
        <f>(IF($E428&lt;&gt;0,$M$2,IF($L428&lt;&gt;0,$M$2,"")))</f>
        <v/>
      </c>
      <c r="N428" s="405"/>
    </row>
    <row r="429" spans="1:14" s="15" customFormat="1" ht="18.75" hidden="1" customHeight="1">
      <c r="A429" s="22">
        <v>215</v>
      </c>
      <c r="B429" s="454">
        <v>7800</v>
      </c>
      <c r="C429" s="1927" t="s">
        <v>909</v>
      </c>
      <c r="D429" s="1928"/>
      <c r="E429" s="1366">
        <f t="shared" ref="E429:L429" si="98">SUM(E430:E431)</f>
        <v>0</v>
      </c>
      <c r="F429" s="455">
        <f t="shared" si="98"/>
        <v>0</v>
      </c>
      <c r="G429" s="469">
        <f t="shared" si="98"/>
        <v>0</v>
      </c>
      <c r="H429" s="441">
        <f>SUM(H430:H431)</f>
        <v>0</v>
      </c>
      <c r="I429" s="455">
        <f t="shared" si="98"/>
        <v>0</v>
      </c>
      <c r="J429" s="440">
        <f t="shared" si="98"/>
        <v>0</v>
      </c>
      <c r="K429" s="441">
        <f t="shared" si="98"/>
        <v>0</v>
      </c>
      <c r="L429" s="1366">
        <f t="shared" si="98"/>
        <v>0</v>
      </c>
      <c r="M429" s="7" t="str">
        <f>(IF($E429&lt;&gt;0,$M$2,IF($L429&lt;&gt;0,$M$2,"")))</f>
        <v/>
      </c>
      <c r="N429" s="405"/>
    </row>
    <row r="430" spans="1:14" ht="18" hidden="1" customHeight="1">
      <c r="A430" s="25">
        <v>220</v>
      </c>
      <c r="B430" s="149"/>
      <c r="C430" s="150">
        <v>7833</v>
      </c>
      <c r="D430" s="151" t="s">
        <v>692</v>
      </c>
      <c r="E430" s="1367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7">
        <f>I430+J430+K430</f>
        <v>0</v>
      </c>
      <c r="M430" s="7" t="str">
        <f>(IF($E430&lt;&gt;0,$M$2,IF($L430&lt;&gt;0,$M$2,"")))</f>
        <v/>
      </c>
      <c r="N430" s="405"/>
    </row>
    <row r="431" spans="1:14" ht="16.5" hidden="1" thickTop="1">
      <c r="A431" s="23">
        <v>225</v>
      </c>
      <c r="B431" s="149"/>
      <c r="C431" s="162">
        <v>7888</v>
      </c>
      <c r="D431" s="185" t="s">
        <v>910</v>
      </c>
      <c r="E431" s="1380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80">
        <f>I431+J431+K431</f>
        <v>0</v>
      </c>
      <c r="M431" s="7" t="str">
        <f>(IF($E431&lt;&gt;0,$M$2,IF($L431&lt;&gt;0,$M$2,"")))</f>
        <v/>
      </c>
      <c r="N431" s="405"/>
    </row>
    <row r="432" spans="1:14" ht="20.25" customHeight="1" thickTop="1" thickBot="1">
      <c r="A432" s="23">
        <v>315</v>
      </c>
      <c r="B432" s="505" t="s">
        <v>892</v>
      </c>
      <c r="C432" s="506" t="s">
        <v>727</v>
      </c>
      <c r="D432" s="507" t="s">
        <v>911</v>
      </c>
      <c r="E432" s="508">
        <f t="shared" ref="E432:L432" si="99">SUM(E425,E426,E427,E428,E429)</f>
        <v>0</v>
      </c>
      <c r="F432" s="509">
        <f t="shared" si="99"/>
        <v>0</v>
      </c>
      <c r="G432" s="510">
        <f t="shared" si="99"/>
        <v>0</v>
      </c>
      <c r="H432" s="511">
        <f>SUM(H425,H426,H427,H428,H429)</f>
        <v>0</v>
      </c>
      <c r="I432" s="509">
        <f t="shared" si="99"/>
        <v>0</v>
      </c>
      <c r="J432" s="510">
        <f t="shared" si="99"/>
        <v>0</v>
      </c>
      <c r="K432" s="511">
        <f t="shared" si="99"/>
        <v>0</v>
      </c>
      <c r="L432" s="508">
        <f t="shared" si="99"/>
        <v>0</v>
      </c>
      <c r="M432" s="7">
        <v>1</v>
      </c>
      <c r="N432" s="405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5"/>
    </row>
    <row r="434" spans="1:14">
      <c r="A434" s="23"/>
      <c r="B434" s="512"/>
      <c r="C434" s="512"/>
      <c r="D434" s="513"/>
      <c r="E434" s="513"/>
      <c r="F434" s="513"/>
      <c r="G434" s="513"/>
      <c r="H434" s="513"/>
      <c r="I434" s="513"/>
      <c r="J434" s="513"/>
      <c r="K434" s="513"/>
      <c r="L434" s="513"/>
      <c r="M434" s="513">
        <v>1</v>
      </c>
      <c r="N434" s="405"/>
    </row>
    <row r="435" spans="1:14">
      <c r="A435" s="23"/>
      <c r="B435" s="228"/>
      <c r="C435" s="391"/>
      <c r="D435" s="400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4"/>
    </row>
    <row r="436" spans="1:14" ht="21" customHeight="1">
      <c r="A436" s="23"/>
      <c r="B436" s="1948" t="str">
        <f>$B$7</f>
        <v>ОТЧЕТНИ ДАННИ ПО ЕБК ЗА ИЗПЪЛНЕНИЕТО НА БЮДЖЕТА</v>
      </c>
      <c r="C436" s="1949"/>
      <c r="D436" s="1949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4"/>
    </row>
    <row r="437" spans="1:14" ht="18.75" customHeight="1">
      <c r="A437" s="23"/>
      <c r="B437" s="228"/>
      <c r="C437" s="391"/>
      <c r="D437" s="400"/>
      <c r="E437" s="406" t="s">
        <v>874</v>
      </c>
      <c r="F437" s="406" t="s">
        <v>820</v>
      </c>
      <c r="G437" s="223"/>
      <c r="H437" s="223"/>
      <c r="I437" s="223"/>
      <c r="J437" s="223"/>
      <c r="K437" s="223"/>
      <c r="L437" s="223"/>
      <c r="M437" s="7">
        <v>1</v>
      </c>
      <c r="N437" s="514"/>
    </row>
    <row r="438" spans="1:14" ht="27" customHeight="1">
      <c r="A438" s="23"/>
      <c r="B438" s="1952" t="str">
        <f>$B$9</f>
        <v>ДЕТСКА ГРАДИНА „СЛЪНЦЕ”</v>
      </c>
      <c r="C438" s="1953"/>
      <c r="D438" s="1954"/>
      <c r="E438" s="115">
        <f>$E$9</f>
        <v>45658</v>
      </c>
      <c r="F438" s="407">
        <f>$F$9</f>
        <v>46022</v>
      </c>
      <c r="G438" s="223"/>
      <c r="H438" s="223"/>
      <c r="I438" s="223"/>
      <c r="J438" s="223"/>
      <c r="K438" s="223"/>
      <c r="L438" s="237"/>
      <c r="M438" s="7">
        <v>1</v>
      </c>
      <c r="N438" s="514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4"/>
    </row>
    <row r="440" spans="1:14" ht="5.25" customHeight="1">
      <c r="A440" s="23"/>
      <c r="B440" s="227"/>
      <c r="C440" s="228"/>
      <c r="D440" s="229"/>
      <c r="E440" s="409"/>
      <c r="F440" s="237"/>
      <c r="G440" s="223"/>
      <c r="H440" s="223"/>
      <c r="I440" s="223"/>
      <c r="J440" s="223"/>
      <c r="K440" s="223"/>
      <c r="L440" s="237"/>
      <c r="M440" s="7">
        <v>1</v>
      </c>
      <c r="N440" s="514"/>
    </row>
    <row r="441" spans="1:14" ht="27.75" customHeight="1">
      <c r="A441" s="23"/>
      <c r="B441" s="1945" t="e">
        <f>$B$12</f>
        <v>#N/A</v>
      </c>
      <c r="C441" s="1946"/>
      <c r="D441" s="1947"/>
      <c r="E441" s="410" t="s">
        <v>875</v>
      </c>
      <c r="F441" s="232" t="str">
        <f>$F$12</f>
        <v>1201341</v>
      </c>
      <c r="G441" s="223"/>
      <c r="H441" s="223"/>
      <c r="I441" s="223"/>
      <c r="J441" s="223"/>
      <c r="K441" s="223"/>
      <c r="L441" s="237"/>
      <c r="M441" s="7">
        <v>1</v>
      </c>
      <c r="N441" s="514"/>
    </row>
    <row r="442" spans="1:14">
      <c r="A442" s="23"/>
      <c r="B442" s="411" t="str">
        <f>$B$13</f>
        <v>(наименование на първостепенния разпоредител с бюджет)</v>
      </c>
      <c r="C442" s="6"/>
      <c r="D442" s="237"/>
      <c r="E442" s="409"/>
      <c r="F442" s="237"/>
      <c r="G442" s="223"/>
      <c r="H442" s="223"/>
      <c r="I442" s="223"/>
      <c r="J442" s="223"/>
      <c r="K442" s="223"/>
      <c r="L442" s="237"/>
      <c r="M442" s="7">
        <v>1</v>
      </c>
      <c r="N442" s="514"/>
    </row>
    <row r="443" spans="1:14" ht="19.5">
      <c r="A443" s="23"/>
      <c r="B443" s="237"/>
      <c r="C443" s="237"/>
      <c r="D443" s="515" t="s">
        <v>876</v>
      </c>
      <c r="E443" s="238">
        <f>$E$15</f>
        <v>0</v>
      </c>
      <c r="F443" s="126" t="str">
        <f>+$F$15</f>
        <v>БЮДЖЕТ</v>
      </c>
      <c r="G443" s="239"/>
      <c r="H443" s="239"/>
      <c r="I443" s="239"/>
      <c r="J443" s="239"/>
      <c r="K443" s="239"/>
      <c r="L443" s="218"/>
      <c r="M443" s="7">
        <v>1</v>
      </c>
      <c r="N443" s="514"/>
    </row>
    <row r="444" spans="1:14" ht="16.5" thickBot="1">
      <c r="A444" s="23"/>
      <c r="B444" s="237"/>
      <c r="C444" s="237"/>
      <c r="D444" s="237"/>
      <c r="E444" s="237"/>
      <c r="F444" s="237"/>
      <c r="G444" s="244"/>
      <c r="H444" s="245" t="s">
        <v>459</v>
      </c>
      <c r="I444" s="244"/>
      <c r="J444" s="244"/>
      <c r="K444" s="244"/>
      <c r="L444" s="1365" t="s">
        <v>459</v>
      </c>
      <c r="M444" s="7">
        <v>1</v>
      </c>
      <c r="N444" s="514"/>
    </row>
    <row r="445" spans="1:14" ht="22.5" customHeight="1" thickBot="1">
      <c r="A445" s="23"/>
      <c r="B445" s="516"/>
      <c r="C445" s="391"/>
      <c r="D445" s="517"/>
      <c r="E445" s="1994" t="str">
        <f>CONCATENATE("Уточнен план ", $C$3, " - БЮДЖЕТНО САЛДО")</f>
        <v>Уточнен план 2025 - БЮДЖЕТНО САЛДО</v>
      </c>
      <c r="F445" s="1995"/>
      <c r="G445" s="1995"/>
      <c r="H445" s="1996"/>
      <c r="I445" s="2012" t="str">
        <f>CONCATENATE("Отчет ",$C$3, " - БЮДЖЕТНО САЛДО")</f>
        <v>Отчет 2025 - БЮДЖЕТНО САЛДО</v>
      </c>
      <c r="J445" s="2013"/>
      <c r="K445" s="2013"/>
      <c r="L445" s="2014"/>
      <c r="M445" s="7">
        <v>1</v>
      </c>
      <c r="N445" s="514"/>
    </row>
    <row r="446" spans="1:14" ht="48" customHeight="1">
      <c r="A446" s="23"/>
      <c r="B446" s="518"/>
      <c r="C446" s="518"/>
      <c r="D446" s="519" t="s">
        <v>870</v>
      </c>
      <c r="E446" s="137" t="str">
        <f t="shared" ref="E446:L447" si="100">E20</f>
        <v>Уточнен план                Общо</v>
      </c>
      <c r="F446" s="1395" t="str">
        <f t="shared" si="100"/>
        <v>държавни дейности</v>
      </c>
      <c r="G446" s="1396" t="str">
        <f t="shared" si="100"/>
        <v>местни дейности</v>
      </c>
      <c r="H446" s="1397" t="str">
        <f t="shared" si="100"/>
        <v>дофинансиране</v>
      </c>
      <c r="I446" s="520" t="str">
        <f t="shared" si="100"/>
        <v>държавни дейности -ОТЧЕТ</v>
      </c>
      <c r="J446" s="521" t="str">
        <f t="shared" si="100"/>
        <v>местни дейности - ОТЧЕТ</v>
      </c>
      <c r="K446" s="522" t="str">
        <f t="shared" si="100"/>
        <v>дофинансиране - ОТЧЕТ</v>
      </c>
      <c r="L446" s="523" t="str">
        <f t="shared" si="100"/>
        <v>ОТЧЕТ                                    ОБЩО</v>
      </c>
      <c r="M446" s="7">
        <v>1</v>
      </c>
      <c r="N446" s="514"/>
    </row>
    <row r="447" spans="1:14" ht="19.5" thickBot="1">
      <c r="A447" s="23"/>
      <c r="B447" s="524"/>
      <c r="C447" s="525"/>
      <c r="D447" s="526" t="s">
        <v>871</v>
      </c>
      <c r="E447" s="527" t="str">
        <f t="shared" si="100"/>
        <v>(1)</v>
      </c>
      <c r="F447" s="528" t="str">
        <f t="shared" si="100"/>
        <v>(2)</v>
      </c>
      <c r="G447" s="529" t="str">
        <f t="shared" si="100"/>
        <v>(3)</v>
      </c>
      <c r="H447" s="530" t="str">
        <f t="shared" si="100"/>
        <v>(4)</v>
      </c>
      <c r="I447" s="531" t="str">
        <f t="shared" si="100"/>
        <v>(5)</v>
      </c>
      <c r="J447" s="532" t="str">
        <f t="shared" si="100"/>
        <v>(6)</v>
      </c>
      <c r="K447" s="533" t="str">
        <f t="shared" si="100"/>
        <v>(7)</v>
      </c>
      <c r="L447" s="534" t="str">
        <f t="shared" si="100"/>
        <v>(8)</v>
      </c>
      <c r="M447" s="7">
        <v>1</v>
      </c>
      <c r="N447" s="514"/>
    </row>
    <row r="448" spans="1:14" ht="21" customHeight="1" thickTop="1">
      <c r="A448" s="23"/>
      <c r="B448" s="391"/>
      <c r="C448" s="535"/>
      <c r="D448" s="536" t="s">
        <v>872</v>
      </c>
      <c r="E448" s="537">
        <f t="shared" ref="E448:L448" si="101">+E167-E304+E422+E432</f>
        <v>0</v>
      </c>
      <c r="F448" s="538">
        <f t="shared" si="101"/>
        <v>0</v>
      </c>
      <c r="G448" s="539">
        <f t="shared" si="101"/>
        <v>0</v>
      </c>
      <c r="H448" s="540">
        <f t="shared" si="101"/>
        <v>0</v>
      </c>
      <c r="I448" s="538">
        <f t="shared" si="101"/>
        <v>-7723</v>
      </c>
      <c r="J448" s="539">
        <f t="shared" si="101"/>
        <v>0</v>
      </c>
      <c r="K448" s="540">
        <f t="shared" si="101"/>
        <v>0</v>
      </c>
      <c r="L448" s="541">
        <f t="shared" si="101"/>
        <v>-7723</v>
      </c>
      <c r="M448" s="7">
        <v>1</v>
      </c>
      <c r="N448" s="514"/>
    </row>
    <row r="449" spans="1:14" ht="20.25" customHeight="1" thickBot="1">
      <c r="A449" s="23"/>
      <c r="B449" s="391"/>
      <c r="C449" s="542"/>
      <c r="D449" s="543" t="s">
        <v>873</v>
      </c>
      <c r="E449" s="544">
        <f t="shared" ref="E449:K450" si="102">+E600</f>
        <v>0</v>
      </c>
      <c r="F449" s="545">
        <f t="shared" si="102"/>
        <v>0</v>
      </c>
      <c r="G449" s="546">
        <f t="shared" si="102"/>
        <v>0</v>
      </c>
      <c r="H449" s="547">
        <f t="shared" si="102"/>
        <v>0</v>
      </c>
      <c r="I449" s="545">
        <f t="shared" si="102"/>
        <v>7723</v>
      </c>
      <c r="J449" s="546">
        <f t="shared" si="102"/>
        <v>0</v>
      </c>
      <c r="K449" s="547">
        <f t="shared" si="102"/>
        <v>0</v>
      </c>
      <c r="L449" s="548">
        <f>+L600</f>
        <v>7723</v>
      </c>
      <c r="M449" s="7">
        <v>1</v>
      </c>
      <c r="N449" s="514"/>
    </row>
    <row r="450" spans="1:14" ht="16.5" thickTop="1">
      <c r="A450" s="23"/>
      <c r="B450" s="391"/>
      <c r="C450" s="542"/>
      <c r="D450" s="549">
        <f>+IF(+SUM(E450:J450)=0,0,"Контрола: дефицит/излишък = финансиране с обратен знак (V. + VІ. = 0)")</f>
        <v>0</v>
      </c>
      <c r="E450" s="550">
        <f t="shared" si="102"/>
        <v>0</v>
      </c>
      <c r="F450" s="550"/>
      <c r="G450" s="550"/>
      <c r="H450" s="550"/>
      <c r="I450" s="550"/>
      <c r="J450" s="550"/>
      <c r="K450" s="550"/>
      <c r="L450" s="550">
        <f>+L601</f>
        <v>0</v>
      </c>
      <c r="M450" s="7">
        <v>1</v>
      </c>
      <c r="N450" s="514"/>
    </row>
    <row r="451" spans="1:14">
      <c r="A451" s="23"/>
      <c r="B451" s="551"/>
      <c r="C451" s="551"/>
      <c r="D451" s="552"/>
      <c r="E451" s="552"/>
      <c r="F451" s="552"/>
      <c r="G451" s="552"/>
      <c r="H451" s="552"/>
      <c r="I451" s="552"/>
      <c r="J451" s="552"/>
      <c r="K451" s="552"/>
      <c r="L451" s="552"/>
      <c r="M451" s="7">
        <v>1</v>
      </c>
      <c r="N451" s="514"/>
    </row>
    <row r="452" spans="1:14" ht="20.25" customHeight="1">
      <c r="A452" s="23"/>
      <c r="B452" s="1950" t="str">
        <f>$B$7</f>
        <v>ОТЧЕТНИ ДАННИ ПО ЕБК ЗА ИЗПЪЛНЕНИЕТО НА БЮДЖЕТА</v>
      </c>
      <c r="C452" s="1951"/>
      <c r="D452" s="1951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4"/>
    </row>
    <row r="453" spans="1:14" ht="18.75" customHeight="1">
      <c r="A453" s="23"/>
      <c r="B453" s="228"/>
      <c r="C453" s="391"/>
      <c r="D453" s="400"/>
      <c r="E453" s="406" t="s">
        <v>874</v>
      </c>
      <c r="F453" s="406" t="s">
        <v>820</v>
      </c>
      <c r="G453" s="223"/>
      <c r="H453" s="223"/>
      <c r="I453" s="223"/>
      <c r="J453" s="223"/>
      <c r="K453" s="223"/>
      <c r="L453" s="237"/>
      <c r="M453" s="7">
        <v>1</v>
      </c>
      <c r="N453" s="514"/>
    </row>
    <row r="454" spans="1:14" ht="27" customHeight="1">
      <c r="A454" s="23"/>
      <c r="B454" s="1952" t="str">
        <f>$B$9</f>
        <v>ДЕТСКА ГРАДИНА „СЛЪНЦЕ”</v>
      </c>
      <c r="C454" s="1953"/>
      <c r="D454" s="1954"/>
      <c r="E454" s="115">
        <f>$E$9</f>
        <v>45658</v>
      </c>
      <c r="F454" s="407">
        <f>$F$9</f>
        <v>46022</v>
      </c>
      <c r="G454" s="223"/>
      <c r="H454" s="223"/>
      <c r="I454" s="223"/>
      <c r="J454" s="223"/>
      <c r="K454" s="223"/>
      <c r="L454" s="237"/>
      <c r="M454" s="7">
        <v>1</v>
      </c>
      <c r="N454" s="514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4"/>
    </row>
    <row r="456" spans="1:14" ht="5.25" customHeight="1">
      <c r="A456" s="23"/>
      <c r="B456" s="227"/>
      <c r="C456" s="228"/>
      <c r="D456" s="229"/>
      <c r="E456" s="409"/>
      <c r="F456" s="237"/>
      <c r="G456" s="223"/>
      <c r="H456" s="223"/>
      <c r="I456" s="223"/>
      <c r="J456" s="223"/>
      <c r="K456" s="223"/>
      <c r="L456" s="237"/>
      <c r="M456" s="7">
        <v>1</v>
      </c>
      <c r="N456" s="514"/>
    </row>
    <row r="457" spans="1:14" ht="27" customHeight="1">
      <c r="A457" s="23"/>
      <c r="B457" s="1945" t="e">
        <f>$B$12</f>
        <v>#N/A</v>
      </c>
      <c r="C457" s="1946"/>
      <c r="D457" s="1947"/>
      <c r="E457" s="410" t="s">
        <v>875</v>
      </c>
      <c r="F457" s="232" t="str">
        <f>$F$12</f>
        <v>1201341</v>
      </c>
      <c r="G457" s="223"/>
      <c r="H457" s="223"/>
      <c r="I457" s="223"/>
      <c r="J457" s="223"/>
      <c r="K457" s="223"/>
      <c r="L457" s="237"/>
      <c r="M457" s="7">
        <v>1</v>
      </c>
      <c r="N457" s="514"/>
    </row>
    <row r="458" spans="1:14">
      <c r="A458" s="23"/>
      <c r="B458" s="237"/>
      <c r="C458" s="6"/>
      <c r="D458" s="237"/>
      <c r="E458" s="409"/>
      <c r="F458" s="237"/>
      <c r="G458" s="223"/>
      <c r="H458" s="223"/>
      <c r="I458" s="223"/>
      <c r="J458" s="223"/>
      <c r="K458" s="223"/>
      <c r="L458" s="237"/>
      <c r="M458" s="7">
        <v>1</v>
      </c>
      <c r="N458" s="514"/>
    </row>
    <row r="459" spans="1:14" ht="19.5">
      <c r="A459" s="23"/>
      <c r="B459" s="236"/>
      <c r="C459" s="237"/>
      <c r="D459" s="515" t="s">
        <v>876</v>
      </c>
      <c r="E459" s="238">
        <f>$E$15</f>
        <v>0</v>
      </c>
      <c r="F459" s="126" t="str">
        <f>+$F$15</f>
        <v>БЮДЖЕТ</v>
      </c>
      <c r="G459" s="239"/>
      <c r="H459" s="239"/>
      <c r="I459" s="239"/>
      <c r="J459" s="239"/>
      <c r="K459" s="239"/>
      <c r="L459" s="218"/>
      <c r="M459" s="7">
        <v>1</v>
      </c>
      <c r="N459" s="514"/>
    </row>
    <row r="460" spans="1:14" ht="14.25" customHeight="1" thickBot="1">
      <c r="A460" s="23"/>
      <c r="B460" s="228"/>
      <c r="C460" s="391"/>
      <c r="D460" s="400"/>
      <c r="E460" s="37"/>
      <c r="F460" s="244"/>
      <c r="G460" s="244"/>
      <c r="H460" s="246" t="s">
        <v>459</v>
      </c>
      <c r="I460" s="244"/>
      <c r="J460" s="244"/>
      <c r="K460" s="244"/>
      <c r="L460" s="1365" t="s">
        <v>459</v>
      </c>
      <c r="M460" s="7">
        <v>1</v>
      </c>
      <c r="N460" s="514"/>
    </row>
    <row r="461" spans="1:14" ht="22.5" customHeight="1">
      <c r="A461" s="23"/>
      <c r="B461" s="553" t="s">
        <v>912</v>
      </c>
      <c r="C461" s="554"/>
      <c r="D461" s="555"/>
      <c r="E461" s="1997" t="str">
        <f>CONCATENATE("Уточнен план ", $C$3, " - ФИНАНСИРАНЕ НА БЮДЖЕТНО САЛДО")</f>
        <v>Уточнен план 2025 - ФИНАНСИРАНЕ НА БЮДЖЕТНО САЛДО</v>
      </c>
      <c r="F461" s="1998"/>
      <c r="G461" s="1998"/>
      <c r="H461" s="1999"/>
      <c r="I461" s="2015" t="str">
        <f>CONCATENATE("Отчет ", $C$3, " -ФИНАНСИРАНЕ НА БЮДЖЕТНО САЛДО")</f>
        <v>Отчет 2025 -ФИНАНСИРАНЕ НА БЮДЖЕТНО САЛДО</v>
      </c>
      <c r="J461" s="2016"/>
      <c r="K461" s="2016"/>
      <c r="L461" s="2017"/>
      <c r="M461" s="7">
        <v>1</v>
      </c>
      <c r="N461" s="514"/>
    </row>
    <row r="462" spans="1:14" ht="60" customHeight="1">
      <c r="A462" s="23"/>
      <c r="B462" s="556" t="s">
        <v>62</v>
      </c>
      <c r="C462" s="557" t="s">
        <v>460</v>
      </c>
      <c r="D462" s="558" t="s">
        <v>664</v>
      </c>
      <c r="E462" s="1391" t="str">
        <f t="shared" ref="E462:L463" si="103">E20</f>
        <v>Уточнен план                Общо</v>
      </c>
      <c r="F462" s="1395" t="str">
        <f t="shared" si="103"/>
        <v>държавни дейности</v>
      </c>
      <c r="G462" s="1396" t="str">
        <f t="shared" si="103"/>
        <v>местни дейности</v>
      </c>
      <c r="H462" s="1397" t="str">
        <f t="shared" si="103"/>
        <v>дофинансиране</v>
      </c>
      <c r="I462" s="559" t="str">
        <f t="shared" si="103"/>
        <v>държавни дейности -ОТЧЕТ</v>
      </c>
      <c r="J462" s="560" t="str">
        <f t="shared" si="103"/>
        <v>местни дейности - ОТЧЕТ</v>
      </c>
      <c r="K462" s="561" t="str">
        <f t="shared" si="103"/>
        <v>дофинансиране - ОТЧЕТ</v>
      </c>
      <c r="L462" s="562" t="str">
        <f t="shared" si="103"/>
        <v>ОТЧЕТ                                    ОБЩО</v>
      </c>
      <c r="M462" s="7">
        <v>1</v>
      </c>
      <c r="N462" s="514"/>
    </row>
    <row r="463" spans="1:14" ht="18.75">
      <c r="A463" s="23">
        <v>1</v>
      </c>
      <c r="B463" s="563"/>
      <c r="C463" s="564"/>
      <c r="D463" s="565" t="s">
        <v>682</v>
      </c>
      <c r="E463" s="1392" t="str">
        <f t="shared" si="103"/>
        <v>(1)</v>
      </c>
      <c r="F463" s="429" t="str">
        <f t="shared" si="103"/>
        <v>(2)</v>
      </c>
      <c r="G463" s="430" t="str">
        <f t="shared" si="103"/>
        <v>(3)</v>
      </c>
      <c r="H463" s="431" t="str">
        <f t="shared" si="103"/>
        <v>(4)</v>
      </c>
      <c r="I463" s="261" t="str">
        <f t="shared" si="103"/>
        <v>(5)</v>
      </c>
      <c r="J463" s="262" t="str">
        <f t="shared" si="103"/>
        <v>(6)</v>
      </c>
      <c r="K463" s="263" t="str">
        <f t="shared" si="103"/>
        <v>(7)</v>
      </c>
      <c r="L463" s="432" t="str">
        <f t="shared" si="103"/>
        <v>(8)</v>
      </c>
      <c r="M463" s="7">
        <v>1</v>
      </c>
      <c r="N463" s="514"/>
    </row>
    <row r="464" spans="1:14" s="15" customFormat="1" ht="18.75" hidden="1" customHeight="1">
      <c r="A464" s="22">
        <v>5</v>
      </c>
      <c r="B464" s="566">
        <v>7000</v>
      </c>
      <c r="C464" s="1942" t="s">
        <v>754</v>
      </c>
      <c r="D464" s="1943"/>
      <c r="E464" s="567">
        <f t="shared" ref="E464:L464" si="104">SUM(E465:E467)</f>
        <v>0</v>
      </c>
      <c r="F464" s="568">
        <f t="shared" si="104"/>
        <v>0</v>
      </c>
      <c r="G464" s="569">
        <f t="shared" si="104"/>
        <v>0</v>
      </c>
      <c r="H464" s="570">
        <f>SUM(H465:H467)</f>
        <v>0</v>
      </c>
      <c r="I464" s="568">
        <f t="shared" si="104"/>
        <v>0</v>
      </c>
      <c r="J464" s="569">
        <f t="shared" si="104"/>
        <v>0</v>
      </c>
      <c r="K464" s="570">
        <f t="shared" si="104"/>
        <v>0</v>
      </c>
      <c r="L464" s="567">
        <f t="shared" si="104"/>
        <v>0</v>
      </c>
      <c r="M464" s="7" t="str">
        <f t="shared" ref="M464:M527" si="105">(IF($E464&lt;&gt;0,$M$2,IF($L464&lt;&gt;0,$M$2,"")))</f>
        <v/>
      </c>
      <c r="N464" s="514"/>
    </row>
    <row r="465" spans="1:14" ht="18.75" hidden="1" customHeight="1">
      <c r="A465" s="23">
        <v>10</v>
      </c>
      <c r="B465" s="571"/>
      <c r="C465" s="150">
        <v>7001</v>
      </c>
      <c r="D465" s="572" t="s">
        <v>671</v>
      </c>
      <c r="E465" s="1367">
        <f>F465+G465+H465</f>
        <v>0</v>
      </c>
      <c r="F465" s="152"/>
      <c r="G465" s="153"/>
      <c r="H465" s="573">
        <v>0</v>
      </c>
      <c r="I465" s="152"/>
      <c r="J465" s="153"/>
      <c r="K465" s="573">
        <v>0</v>
      </c>
      <c r="L465" s="1367">
        <f>I465+J465+K465</f>
        <v>0</v>
      </c>
      <c r="M465" s="7" t="str">
        <f t="shared" si="105"/>
        <v/>
      </c>
      <c r="N465" s="514"/>
    </row>
    <row r="466" spans="1:14" ht="18.75" hidden="1" customHeight="1">
      <c r="A466" s="24">
        <v>20</v>
      </c>
      <c r="B466" s="571"/>
      <c r="C466" s="156">
        <v>7003</v>
      </c>
      <c r="D466" s="184" t="s">
        <v>755</v>
      </c>
      <c r="E466" s="1368">
        <f>F466+G466+H466</f>
        <v>0</v>
      </c>
      <c r="F466" s="158"/>
      <c r="G466" s="159"/>
      <c r="H466" s="574">
        <v>0</v>
      </c>
      <c r="I466" s="158"/>
      <c r="J466" s="159"/>
      <c r="K466" s="574">
        <v>0</v>
      </c>
      <c r="L466" s="1368">
        <f>I466+J466+K466</f>
        <v>0</v>
      </c>
      <c r="M466" s="7" t="str">
        <f t="shared" si="105"/>
        <v/>
      </c>
      <c r="N466" s="514"/>
    </row>
    <row r="467" spans="1:14" ht="18.75" hidden="1" customHeight="1">
      <c r="A467" s="24">
        <v>25</v>
      </c>
      <c r="B467" s="571"/>
      <c r="C467" s="179">
        <v>7010</v>
      </c>
      <c r="D467" s="188" t="s">
        <v>756</v>
      </c>
      <c r="E467" s="1371">
        <f>F467+G467+H467</f>
        <v>0</v>
      </c>
      <c r="F467" s="173"/>
      <c r="G467" s="174"/>
      <c r="H467" s="575">
        <v>0</v>
      </c>
      <c r="I467" s="173"/>
      <c r="J467" s="174"/>
      <c r="K467" s="575">
        <v>0</v>
      </c>
      <c r="L467" s="1371">
        <f>I467+J467+K467</f>
        <v>0</v>
      </c>
      <c r="M467" s="7" t="str">
        <f t="shared" si="105"/>
        <v/>
      </c>
      <c r="N467" s="514"/>
    </row>
    <row r="468" spans="1:14" s="15" customFormat="1" hidden="1">
      <c r="A468" s="22">
        <v>30</v>
      </c>
      <c r="B468" s="566">
        <v>7100</v>
      </c>
      <c r="C468" s="1937" t="s">
        <v>757</v>
      </c>
      <c r="D468" s="1937"/>
      <c r="E468" s="567">
        <f t="shared" ref="E468:L468" si="106">+E469+E470</f>
        <v>0</v>
      </c>
      <c r="F468" s="576">
        <f t="shared" si="106"/>
        <v>0</v>
      </c>
      <c r="G468" s="569">
        <f t="shared" si="106"/>
        <v>0</v>
      </c>
      <c r="H468" s="570">
        <f>+H469+H470</f>
        <v>0</v>
      </c>
      <c r="I468" s="576">
        <f t="shared" si="106"/>
        <v>0</v>
      </c>
      <c r="J468" s="569">
        <f t="shared" si="106"/>
        <v>0</v>
      </c>
      <c r="K468" s="570">
        <f t="shared" si="106"/>
        <v>0</v>
      </c>
      <c r="L468" s="567">
        <f t="shared" si="106"/>
        <v>0</v>
      </c>
      <c r="M468" s="7" t="str">
        <f t="shared" si="105"/>
        <v/>
      </c>
      <c r="N468" s="514"/>
    </row>
    <row r="469" spans="1:14" ht="18.75" hidden="1" customHeight="1">
      <c r="A469" s="23">
        <v>35</v>
      </c>
      <c r="B469" s="571"/>
      <c r="C469" s="150">
        <v>7101</v>
      </c>
      <c r="D469" s="577" t="s">
        <v>758</v>
      </c>
      <c r="E469" s="1367">
        <f>F469+G469+H469</f>
        <v>0</v>
      </c>
      <c r="F469" s="152"/>
      <c r="G469" s="153"/>
      <c r="H469" s="573">
        <v>0</v>
      </c>
      <c r="I469" s="152"/>
      <c r="J469" s="153"/>
      <c r="K469" s="573">
        <v>0</v>
      </c>
      <c r="L469" s="1367">
        <f>I469+J469+K469</f>
        <v>0</v>
      </c>
      <c r="M469" s="7" t="str">
        <f t="shared" si="105"/>
        <v/>
      </c>
      <c r="N469" s="514"/>
    </row>
    <row r="470" spans="1:14" ht="18.75" hidden="1" customHeight="1">
      <c r="A470" s="23">
        <v>40</v>
      </c>
      <c r="B470" s="571"/>
      <c r="C470" s="179">
        <v>7102</v>
      </c>
      <c r="D470" s="188" t="s">
        <v>759</v>
      </c>
      <c r="E470" s="1371">
        <f>F470+G470+H470</f>
        <v>0</v>
      </c>
      <c r="F470" s="173"/>
      <c r="G470" s="174"/>
      <c r="H470" s="575">
        <v>0</v>
      </c>
      <c r="I470" s="173"/>
      <c r="J470" s="174"/>
      <c r="K470" s="575">
        <v>0</v>
      </c>
      <c r="L470" s="1371">
        <f>I470+J470+K470</f>
        <v>0</v>
      </c>
      <c r="M470" s="7" t="str">
        <f t="shared" si="105"/>
        <v/>
      </c>
      <c r="N470" s="514"/>
    </row>
    <row r="471" spans="1:14" s="15" customFormat="1" hidden="1">
      <c r="A471" s="22">
        <v>45</v>
      </c>
      <c r="B471" s="566">
        <v>7200</v>
      </c>
      <c r="C471" s="1937" t="s">
        <v>1990</v>
      </c>
      <c r="D471" s="1937"/>
      <c r="E471" s="567">
        <f t="shared" ref="E471:L471" si="107">+E472+E473</f>
        <v>0</v>
      </c>
      <c r="F471" s="576">
        <f t="shared" si="107"/>
        <v>0</v>
      </c>
      <c r="G471" s="569">
        <f t="shared" si="107"/>
        <v>0</v>
      </c>
      <c r="H471" s="570">
        <f>+H472+H473</f>
        <v>0</v>
      </c>
      <c r="I471" s="576">
        <f t="shared" si="107"/>
        <v>0</v>
      </c>
      <c r="J471" s="569">
        <f t="shared" si="107"/>
        <v>0</v>
      </c>
      <c r="K471" s="570">
        <f t="shared" si="107"/>
        <v>0</v>
      </c>
      <c r="L471" s="567">
        <f t="shared" si="107"/>
        <v>0</v>
      </c>
      <c r="M471" s="7" t="str">
        <f t="shared" si="105"/>
        <v/>
      </c>
      <c r="N471" s="514"/>
    </row>
    <row r="472" spans="1:14" ht="18.75" hidden="1" customHeight="1">
      <c r="A472" s="23">
        <v>50</v>
      </c>
      <c r="B472" s="571"/>
      <c r="C472" s="578">
        <v>7201</v>
      </c>
      <c r="D472" s="579" t="s">
        <v>1991</v>
      </c>
      <c r="E472" s="1381">
        <f>F472+G472+H472</f>
        <v>0</v>
      </c>
      <c r="F472" s="152"/>
      <c r="G472" s="580"/>
      <c r="H472" s="573">
        <v>0</v>
      </c>
      <c r="I472" s="152"/>
      <c r="J472" s="580"/>
      <c r="K472" s="573">
        <v>0</v>
      </c>
      <c r="L472" s="1381">
        <f>I472+J472+K472</f>
        <v>0</v>
      </c>
      <c r="M472" s="7" t="str">
        <f t="shared" si="105"/>
        <v/>
      </c>
      <c r="N472" s="514"/>
    </row>
    <row r="473" spans="1:14" ht="18.75" hidden="1" customHeight="1">
      <c r="A473" s="23">
        <v>55</v>
      </c>
      <c r="B473" s="571"/>
      <c r="C473" s="162">
        <v>7202</v>
      </c>
      <c r="D473" s="581" t="s">
        <v>1992</v>
      </c>
      <c r="E473" s="1380">
        <f>F473+G473+H473</f>
        <v>0</v>
      </c>
      <c r="F473" s="173"/>
      <c r="G473" s="165"/>
      <c r="H473" s="575">
        <v>0</v>
      </c>
      <c r="I473" s="173"/>
      <c r="J473" s="165"/>
      <c r="K473" s="575">
        <v>0</v>
      </c>
      <c r="L473" s="1380">
        <f>I473+J473+K473</f>
        <v>0</v>
      </c>
      <c r="M473" s="7" t="str">
        <f t="shared" si="105"/>
        <v/>
      </c>
      <c r="N473" s="514"/>
    </row>
    <row r="474" spans="1:14" s="15" customFormat="1" ht="18.75" hidden="1" customHeight="1">
      <c r="A474" s="22">
        <v>60</v>
      </c>
      <c r="B474" s="566">
        <v>7300</v>
      </c>
      <c r="C474" s="1942" t="s">
        <v>760</v>
      </c>
      <c r="D474" s="1943"/>
      <c r="E474" s="567">
        <f t="shared" ref="E474:L474" si="108">SUM(E475:E480)</f>
        <v>0</v>
      </c>
      <c r="F474" s="576">
        <f t="shared" si="108"/>
        <v>0</v>
      </c>
      <c r="G474" s="582">
        <f t="shared" si="108"/>
        <v>0</v>
      </c>
      <c r="H474" s="570">
        <f>SUM(H475:H480)</f>
        <v>0</v>
      </c>
      <c r="I474" s="576">
        <f t="shared" si="108"/>
        <v>0</v>
      </c>
      <c r="J474" s="582">
        <f t="shared" si="108"/>
        <v>0</v>
      </c>
      <c r="K474" s="570">
        <f t="shared" si="108"/>
        <v>0</v>
      </c>
      <c r="L474" s="567">
        <f t="shared" si="108"/>
        <v>0</v>
      </c>
      <c r="M474" s="7" t="str">
        <f t="shared" si="105"/>
        <v/>
      </c>
      <c r="N474" s="514"/>
    </row>
    <row r="475" spans="1:14" ht="18.75" hidden="1" customHeight="1">
      <c r="A475" s="23">
        <v>65</v>
      </c>
      <c r="B475" s="149"/>
      <c r="C475" s="578">
        <v>7320</v>
      </c>
      <c r="D475" s="583" t="s">
        <v>761</v>
      </c>
      <c r="E475" s="1382">
        <f t="shared" ref="E475:E480" si="109">F475+G475+H475</f>
        <v>0</v>
      </c>
      <c r="F475" s="584"/>
      <c r="G475" s="153"/>
      <c r="H475" s="573">
        <v>0</v>
      </c>
      <c r="I475" s="584"/>
      <c r="J475" s="153"/>
      <c r="K475" s="573">
        <v>0</v>
      </c>
      <c r="L475" s="1382">
        <f t="shared" ref="L475:L480" si="110">I475+J475+K475</f>
        <v>0</v>
      </c>
      <c r="M475" s="7" t="str">
        <f t="shared" si="105"/>
        <v/>
      </c>
      <c r="N475" s="514"/>
    </row>
    <row r="476" spans="1:14" ht="31.5" hidden="1">
      <c r="A476" s="23">
        <v>85</v>
      </c>
      <c r="B476" s="149"/>
      <c r="C476" s="162">
        <v>7369</v>
      </c>
      <c r="D476" s="585" t="s">
        <v>762</v>
      </c>
      <c r="E476" s="1383">
        <f t="shared" si="109"/>
        <v>0</v>
      </c>
      <c r="F476" s="164"/>
      <c r="G476" s="446"/>
      <c r="H476" s="586">
        <v>0</v>
      </c>
      <c r="I476" s="164"/>
      <c r="J476" s="446"/>
      <c r="K476" s="586">
        <v>0</v>
      </c>
      <c r="L476" s="1383">
        <f t="shared" si="110"/>
        <v>0</v>
      </c>
      <c r="M476" s="7" t="str">
        <f t="shared" si="105"/>
        <v/>
      </c>
      <c r="N476" s="514"/>
    </row>
    <row r="477" spans="1:14" ht="31.5" hidden="1">
      <c r="A477" s="23">
        <v>90</v>
      </c>
      <c r="B477" s="149"/>
      <c r="C477" s="587">
        <v>7370</v>
      </c>
      <c r="D477" s="588" t="s">
        <v>763</v>
      </c>
      <c r="E477" s="1384">
        <f t="shared" si="109"/>
        <v>0</v>
      </c>
      <c r="F477" s="589"/>
      <c r="G477" s="590"/>
      <c r="H477" s="591">
        <v>0</v>
      </c>
      <c r="I477" s="589"/>
      <c r="J477" s="590"/>
      <c r="K477" s="591">
        <v>0</v>
      </c>
      <c r="L477" s="1384">
        <f t="shared" si="110"/>
        <v>0</v>
      </c>
      <c r="M477" s="7" t="str">
        <f t="shared" si="105"/>
        <v/>
      </c>
      <c r="N477" s="514"/>
    </row>
    <row r="478" spans="1:14" ht="18.75" hidden="1" customHeight="1">
      <c r="A478" s="23">
        <v>95</v>
      </c>
      <c r="B478" s="149"/>
      <c r="C478" s="578">
        <v>7391</v>
      </c>
      <c r="D478" s="592" t="s">
        <v>764</v>
      </c>
      <c r="E478" s="1381">
        <f t="shared" si="109"/>
        <v>0</v>
      </c>
      <c r="F478" s="584"/>
      <c r="G478" s="451"/>
      <c r="H478" s="574">
        <v>0</v>
      </c>
      <c r="I478" s="584"/>
      <c r="J478" s="451"/>
      <c r="K478" s="574">
        <v>0</v>
      </c>
      <c r="L478" s="1381">
        <f t="shared" si="110"/>
        <v>0</v>
      </c>
      <c r="M478" s="7" t="str">
        <f t="shared" si="105"/>
        <v/>
      </c>
      <c r="N478" s="514"/>
    </row>
    <row r="479" spans="1:14" ht="18.75" hidden="1" customHeight="1">
      <c r="A479" s="23">
        <v>100</v>
      </c>
      <c r="B479" s="149"/>
      <c r="C479" s="156">
        <v>7392</v>
      </c>
      <c r="D479" s="593" t="s">
        <v>765</v>
      </c>
      <c r="E479" s="1368">
        <f t="shared" si="109"/>
        <v>0</v>
      </c>
      <c r="F479" s="1652">
        <v>0</v>
      </c>
      <c r="G479" s="1652">
        <v>0</v>
      </c>
      <c r="H479" s="574">
        <v>0</v>
      </c>
      <c r="I479" s="1652">
        <v>0</v>
      </c>
      <c r="J479" s="1652">
        <v>0</v>
      </c>
      <c r="K479" s="574">
        <v>0</v>
      </c>
      <c r="L479" s="1368">
        <f t="shared" si="110"/>
        <v>0</v>
      </c>
      <c r="M479" s="7" t="str">
        <f t="shared" si="105"/>
        <v/>
      </c>
      <c r="N479" s="514"/>
    </row>
    <row r="480" spans="1:14" ht="18.75" hidden="1" customHeight="1">
      <c r="A480" s="23">
        <v>105</v>
      </c>
      <c r="B480" s="149"/>
      <c r="C480" s="162">
        <v>7393</v>
      </c>
      <c r="D480" s="182" t="s">
        <v>766</v>
      </c>
      <c r="E480" s="1380">
        <f t="shared" si="109"/>
        <v>0</v>
      </c>
      <c r="F480" s="164"/>
      <c r="G480" s="174"/>
      <c r="H480" s="575">
        <v>0</v>
      </c>
      <c r="I480" s="164"/>
      <c r="J480" s="174"/>
      <c r="K480" s="575">
        <v>0</v>
      </c>
      <c r="L480" s="1380">
        <f t="shared" si="110"/>
        <v>0</v>
      </c>
      <c r="M480" s="7" t="str">
        <f t="shared" si="105"/>
        <v/>
      </c>
      <c r="N480" s="514"/>
    </row>
    <row r="481" spans="1:232" s="46" customFormat="1" ht="18.75" hidden="1" customHeight="1">
      <c r="A481" s="26">
        <v>110</v>
      </c>
      <c r="B481" s="566">
        <v>7900</v>
      </c>
      <c r="C481" s="1938" t="s">
        <v>767</v>
      </c>
      <c r="D481" s="1939"/>
      <c r="E481" s="594">
        <f t="shared" ref="E481:L481" si="111">+E482+E483</f>
        <v>0</v>
      </c>
      <c r="F481" s="595">
        <f t="shared" si="111"/>
        <v>0</v>
      </c>
      <c r="G481" s="596">
        <f t="shared" si="111"/>
        <v>0</v>
      </c>
      <c r="H481" s="570">
        <f>+H482+H483</f>
        <v>0</v>
      </c>
      <c r="I481" s="595">
        <f t="shared" si="111"/>
        <v>0</v>
      </c>
      <c r="J481" s="596">
        <f t="shared" si="111"/>
        <v>0</v>
      </c>
      <c r="K481" s="570">
        <f t="shared" si="111"/>
        <v>0</v>
      </c>
      <c r="L481" s="594">
        <f t="shared" si="111"/>
        <v>0</v>
      </c>
      <c r="M481" s="7" t="str">
        <f t="shared" si="105"/>
        <v/>
      </c>
      <c r="N481" s="514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T481" s="50"/>
    </row>
    <row r="482" spans="1:232" s="58" customFormat="1" ht="18.75" hidden="1" customHeight="1">
      <c r="A482" s="53">
        <v>115</v>
      </c>
      <c r="B482" s="149"/>
      <c r="C482" s="597">
        <v>7901</v>
      </c>
      <c r="D482" s="598" t="s">
        <v>768</v>
      </c>
      <c r="E482" s="1381">
        <f>F482+G482+H482</f>
        <v>0</v>
      </c>
      <c r="F482" s="1652">
        <v>0</v>
      </c>
      <c r="G482" s="1652">
        <v>0</v>
      </c>
      <c r="H482" s="573">
        <v>0</v>
      </c>
      <c r="I482" s="1652">
        <v>0</v>
      </c>
      <c r="J482" s="1652">
        <v>0</v>
      </c>
      <c r="K482" s="573">
        <v>0</v>
      </c>
      <c r="L482" s="1381">
        <f>I482+J482+K482</f>
        <v>0</v>
      </c>
      <c r="M482" s="7" t="str">
        <f t="shared" si="105"/>
        <v/>
      </c>
      <c r="N482" s="514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9">
        <v>7902</v>
      </c>
      <c r="D483" s="600" t="s">
        <v>769</v>
      </c>
      <c r="E483" s="1380">
        <f>F483+G483+H483</f>
        <v>0</v>
      </c>
      <c r="F483" s="1652">
        <v>0</v>
      </c>
      <c r="G483" s="1652">
        <v>0</v>
      </c>
      <c r="H483" s="575">
        <v>0</v>
      </c>
      <c r="I483" s="1652">
        <v>0</v>
      </c>
      <c r="J483" s="1652">
        <v>0</v>
      </c>
      <c r="K483" s="575">
        <v>0</v>
      </c>
      <c r="L483" s="1380">
        <f>I483+J483+K483</f>
        <v>0</v>
      </c>
      <c r="M483" s="7" t="str">
        <f t="shared" si="105"/>
        <v/>
      </c>
      <c r="N483" s="514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6">
        <v>8000</v>
      </c>
      <c r="C484" s="1940" t="s">
        <v>913</v>
      </c>
      <c r="D484" s="1940"/>
      <c r="E484" s="567">
        <f t="shared" ref="E484:L484" si="112">SUM(E485:E499)</f>
        <v>0</v>
      </c>
      <c r="F484" s="576">
        <f t="shared" si="112"/>
        <v>0</v>
      </c>
      <c r="G484" s="569">
        <f t="shared" si="112"/>
        <v>0</v>
      </c>
      <c r="H484" s="570">
        <f>SUM(H485:H499)</f>
        <v>0</v>
      </c>
      <c r="I484" s="576">
        <f t="shared" si="112"/>
        <v>0</v>
      </c>
      <c r="J484" s="569">
        <f t="shared" si="112"/>
        <v>0</v>
      </c>
      <c r="K484" s="570">
        <f t="shared" si="112"/>
        <v>0</v>
      </c>
      <c r="L484" s="567">
        <f t="shared" si="112"/>
        <v>0</v>
      </c>
      <c r="M484" s="7" t="str">
        <f t="shared" si="105"/>
        <v/>
      </c>
      <c r="N484" s="514"/>
    </row>
    <row r="485" spans="1:232" ht="18.75" hidden="1" customHeight="1">
      <c r="A485" s="23">
        <v>130</v>
      </c>
      <c r="B485" s="171"/>
      <c r="C485" s="578">
        <v>8011</v>
      </c>
      <c r="D485" s="601" t="s">
        <v>770</v>
      </c>
      <c r="E485" s="1381">
        <f t="shared" ref="E485:E499" si="113">F485+G485+H485</f>
        <v>0</v>
      </c>
      <c r="F485" s="584"/>
      <c r="G485" s="580"/>
      <c r="H485" s="573">
        <v>0</v>
      </c>
      <c r="I485" s="584"/>
      <c r="J485" s="580"/>
      <c r="K485" s="573">
        <v>0</v>
      </c>
      <c r="L485" s="1381">
        <f t="shared" ref="L485:L499" si="114">I485+J485+K485</f>
        <v>0</v>
      </c>
      <c r="M485" s="7" t="str">
        <f t="shared" si="105"/>
        <v/>
      </c>
      <c r="N485" s="514"/>
    </row>
    <row r="486" spans="1:232" ht="18.75" hidden="1" customHeight="1">
      <c r="A486" s="23">
        <v>135</v>
      </c>
      <c r="B486" s="171"/>
      <c r="C486" s="156">
        <v>8012</v>
      </c>
      <c r="D486" s="157" t="s">
        <v>771</v>
      </c>
      <c r="E486" s="1368">
        <f t="shared" si="113"/>
        <v>0</v>
      </c>
      <c r="F486" s="158"/>
      <c r="G486" s="159"/>
      <c r="H486" s="574">
        <v>0</v>
      </c>
      <c r="I486" s="158"/>
      <c r="J486" s="159"/>
      <c r="K486" s="574">
        <v>0</v>
      </c>
      <c r="L486" s="1368">
        <f t="shared" si="114"/>
        <v>0</v>
      </c>
      <c r="M486" s="7" t="str">
        <f t="shared" si="105"/>
        <v/>
      </c>
      <c r="N486" s="514"/>
    </row>
    <row r="487" spans="1:232" ht="18.75" hidden="1" customHeight="1">
      <c r="A487" s="23">
        <v>140</v>
      </c>
      <c r="B487" s="171"/>
      <c r="C487" s="156">
        <v>8017</v>
      </c>
      <c r="D487" s="157" t="s">
        <v>772</v>
      </c>
      <c r="E487" s="1368">
        <f t="shared" si="113"/>
        <v>0</v>
      </c>
      <c r="F487" s="158"/>
      <c r="G487" s="159"/>
      <c r="H487" s="574">
        <v>0</v>
      </c>
      <c r="I487" s="158"/>
      <c r="J487" s="159"/>
      <c r="K487" s="574">
        <v>0</v>
      </c>
      <c r="L487" s="1368">
        <f t="shared" si="114"/>
        <v>0</v>
      </c>
      <c r="M487" s="7" t="str">
        <f t="shared" si="105"/>
        <v/>
      </c>
      <c r="N487" s="514"/>
    </row>
    <row r="488" spans="1:232" ht="18.75" hidden="1" customHeight="1">
      <c r="A488" s="23">
        <v>145</v>
      </c>
      <c r="B488" s="171"/>
      <c r="C488" s="162">
        <v>8018</v>
      </c>
      <c r="D488" s="182" t="s">
        <v>773</v>
      </c>
      <c r="E488" s="1380">
        <f t="shared" si="113"/>
        <v>0</v>
      </c>
      <c r="F488" s="164"/>
      <c r="G488" s="446"/>
      <c r="H488" s="586">
        <v>0</v>
      </c>
      <c r="I488" s="164"/>
      <c r="J488" s="446"/>
      <c r="K488" s="586">
        <v>0</v>
      </c>
      <c r="L488" s="1380">
        <f t="shared" si="114"/>
        <v>0</v>
      </c>
      <c r="M488" s="7" t="str">
        <f t="shared" si="105"/>
        <v/>
      </c>
      <c r="N488" s="514"/>
    </row>
    <row r="489" spans="1:232" ht="18.75" hidden="1" customHeight="1">
      <c r="A489" s="23">
        <v>150</v>
      </c>
      <c r="B489" s="171"/>
      <c r="C489" s="448">
        <v>8031</v>
      </c>
      <c r="D489" s="449" t="s">
        <v>774</v>
      </c>
      <c r="E489" s="1370">
        <f t="shared" si="113"/>
        <v>0</v>
      </c>
      <c r="F489" s="450"/>
      <c r="G489" s="451"/>
      <c r="H489" s="574">
        <v>0</v>
      </c>
      <c r="I489" s="450"/>
      <c r="J489" s="451"/>
      <c r="K489" s="574">
        <v>0</v>
      </c>
      <c r="L489" s="1370">
        <f t="shared" si="114"/>
        <v>0</v>
      </c>
      <c r="M489" s="7" t="str">
        <f t="shared" si="105"/>
        <v/>
      </c>
      <c r="N489" s="514"/>
    </row>
    <row r="490" spans="1:232" ht="18.75" hidden="1" customHeight="1">
      <c r="A490" s="23">
        <v>155</v>
      </c>
      <c r="B490" s="171"/>
      <c r="C490" s="156">
        <v>8032</v>
      </c>
      <c r="D490" s="157" t="s">
        <v>775</v>
      </c>
      <c r="E490" s="1368">
        <f t="shared" si="113"/>
        <v>0</v>
      </c>
      <c r="F490" s="158"/>
      <c r="G490" s="159"/>
      <c r="H490" s="574">
        <v>0</v>
      </c>
      <c r="I490" s="158"/>
      <c r="J490" s="159"/>
      <c r="K490" s="574">
        <v>0</v>
      </c>
      <c r="L490" s="1368">
        <f t="shared" si="114"/>
        <v>0</v>
      </c>
      <c r="M490" s="7" t="str">
        <f t="shared" si="105"/>
        <v/>
      </c>
      <c r="N490" s="514"/>
    </row>
    <row r="491" spans="1:232" ht="18.75" hidden="1" customHeight="1">
      <c r="A491" s="23">
        <v>175</v>
      </c>
      <c r="B491" s="171"/>
      <c r="C491" s="156">
        <v>8037</v>
      </c>
      <c r="D491" s="157" t="s">
        <v>776</v>
      </c>
      <c r="E491" s="1368">
        <f t="shared" si="113"/>
        <v>0</v>
      </c>
      <c r="F491" s="158"/>
      <c r="G491" s="159"/>
      <c r="H491" s="574">
        <v>0</v>
      </c>
      <c r="I491" s="158"/>
      <c r="J491" s="159"/>
      <c r="K491" s="574">
        <v>0</v>
      </c>
      <c r="L491" s="1368">
        <f t="shared" si="114"/>
        <v>0</v>
      </c>
      <c r="M491" s="7" t="str">
        <f t="shared" si="105"/>
        <v/>
      </c>
      <c r="N491" s="514"/>
    </row>
    <row r="492" spans="1:232" ht="18.75" hidden="1" customHeight="1">
      <c r="A492" s="23">
        <v>180</v>
      </c>
      <c r="B492" s="171"/>
      <c r="C492" s="443">
        <v>8038</v>
      </c>
      <c r="D492" s="444" t="s">
        <v>284</v>
      </c>
      <c r="E492" s="1369">
        <f t="shared" si="113"/>
        <v>0</v>
      </c>
      <c r="F492" s="445"/>
      <c r="G492" s="446"/>
      <c r="H492" s="586">
        <v>0</v>
      </c>
      <c r="I492" s="445"/>
      <c r="J492" s="446"/>
      <c r="K492" s="586">
        <v>0</v>
      </c>
      <c r="L492" s="1369">
        <f t="shared" si="114"/>
        <v>0</v>
      </c>
      <c r="M492" s="7" t="str">
        <f t="shared" si="105"/>
        <v/>
      </c>
      <c r="N492" s="514"/>
    </row>
    <row r="493" spans="1:232" ht="18.75" hidden="1" customHeight="1">
      <c r="A493" s="23">
        <v>185</v>
      </c>
      <c r="B493" s="171"/>
      <c r="C493" s="448">
        <v>8051</v>
      </c>
      <c r="D493" s="462" t="s">
        <v>914</v>
      </c>
      <c r="E493" s="1370">
        <f t="shared" si="113"/>
        <v>0</v>
      </c>
      <c r="F493" s="450"/>
      <c r="G493" s="451"/>
      <c r="H493" s="574">
        <v>0</v>
      </c>
      <c r="I493" s="450"/>
      <c r="J493" s="451"/>
      <c r="K493" s="574">
        <v>0</v>
      </c>
      <c r="L493" s="1370">
        <f t="shared" si="114"/>
        <v>0</v>
      </c>
      <c r="M493" s="7" t="str">
        <f t="shared" si="105"/>
        <v/>
      </c>
      <c r="N493" s="514"/>
    </row>
    <row r="494" spans="1:232" ht="18.75" hidden="1" customHeight="1">
      <c r="A494" s="23">
        <v>190</v>
      </c>
      <c r="B494" s="171"/>
      <c r="C494" s="156">
        <v>8052</v>
      </c>
      <c r="D494" s="196" t="s">
        <v>915</v>
      </c>
      <c r="E494" s="1368">
        <f t="shared" si="113"/>
        <v>0</v>
      </c>
      <c r="F494" s="158"/>
      <c r="G494" s="159"/>
      <c r="H494" s="574">
        <v>0</v>
      </c>
      <c r="I494" s="158"/>
      <c r="J494" s="159"/>
      <c r="K494" s="574">
        <v>0</v>
      </c>
      <c r="L494" s="1368">
        <f t="shared" si="114"/>
        <v>0</v>
      </c>
      <c r="M494" s="7" t="str">
        <f t="shared" si="105"/>
        <v/>
      </c>
      <c r="N494" s="514"/>
    </row>
    <row r="495" spans="1:232" ht="18.75" hidden="1" customHeight="1">
      <c r="A495" s="23">
        <v>195</v>
      </c>
      <c r="B495" s="171"/>
      <c r="C495" s="156">
        <v>8057</v>
      </c>
      <c r="D495" s="196" t="s">
        <v>916</v>
      </c>
      <c r="E495" s="1368">
        <f t="shared" si="113"/>
        <v>0</v>
      </c>
      <c r="F495" s="158"/>
      <c r="G495" s="159"/>
      <c r="H495" s="574">
        <v>0</v>
      </c>
      <c r="I495" s="158"/>
      <c r="J495" s="159"/>
      <c r="K495" s="574">
        <v>0</v>
      </c>
      <c r="L495" s="1368">
        <f t="shared" si="114"/>
        <v>0</v>
      </c>
      <c r="M495" s="7" t="str">
        <f t="shared" si="105"/>
        <v/>
      </c>
      <c r="N495" s="514"/>
    </row>
    <row r="496" spans="1:232" ht="18.75" hidden="1" customHeight="1">
      <c r="A496" s="23">
        <v>200</v>
      </c>
      <c r="B496" s="171"/>
      <c r="C496" s="443">
        <v>8058</v>
      </c>
      <c r="D496" s="463" t="s">
        <v>917</v>
      </c>
      <c r="E496" s="1369">
        <f t="shared" si="113"/>
        <v>0</v>
      </c>
      <c r="F496" s="445"/>
      <c r="G496" s="446"/>
      <c r="H496" s="586">
        <v>0</v>
      </c>
      <c r="I496" s="445"/>
      <c r="J496" s="446"/>
      <c r="K496" s="586">
        <v>0</v>
      </c>
      <c r="L496" s="1369">
        <f t="shared" si="114"/>
        <v>0</v>
      </c>
      <c r="M496" s="7" t="str">
        <f t="shared" si="105"/>
        <v/>
      </c>
      <c r="N496" s="514"/>
    </row>
    <row r="497" spans="1:14" ht="18.75" hidden="1" customHeight="1">
      <c r="A497" s="23">
        <v>205</v>
      </c>
      <c r="B497" s="171"/>
      <c r="C497" s="587">
        <v>8080</v>
      </c>
      <c r="D497" s="602" t="s">
        <v>122</v>
      </c>
      <c r="E497" s="1385">
        <f t="shared" si="113"/>
        <v>0</v>
      </c>
      <c r="F497" s="1652">
        <v>0</v>
      </c>
      <c r="G497" s="1652">
        <v>0</v>
      </c>
      <c r="H497" s="591">
        <v>0</v>
      </c>
      <c r="I497" s="1652">
        <v>0</v>
      </c>
      <c r="J497" s="1652">
        <v>0</v>
      </c>
      <c r="K497" s="591">
        <v>0</v>
      </c>
      <c r="L497" s="1385">
        <f t="shared" si="114"/>
        <v>0</v>
      </c>
      <c r="M497" s="7" t="str">
        <f t="shared" si="105"/>
        <v/>
      </c>
      <c r="N497" s="514"/>
    </row>
    <row r="498" spans="1:14" ht="18.75" hidden="1" customHeight="1">
      <c r="A498" s="23">
        <v>210</v>
      </c>
      <c r="B498" s="171"/>
      <c r="C498" s="578">
        <v>8097</v>
      </c>
      <c r="D498" s="592" t="s">
        <v>285</v>
      </c>
      <c r="E498" s="1381">
        <f t="shared" si="113"/>
        <v>0</v>
      </c>
      <c r="F498" s="1652">
        <v>0</v>
      </c>
      <c r="G498" s="1652">
        <v>0</v>
      </c>
      <c r="H498" s="574">
        <v>0</v>
      </c>
      <c r="I498" s="1652">
        <v>0</v>
      </c>
      <c r="J498" s="1652">
        <v>0</v>
      </c>
      <c r="K498" s="574">
        <v>0</v>
      </c>
      <c r="L498" s="1381">
        <f t="shared" si="114"/>
        <v>0</v>
      </c>
      <c r="M498" s="7" t="str">
        <f t="shared" si="105"/>
        <v/>
      </c>
      <c r="N498" s="514"/>
    </row>
    <row r="499" spans="1:14" ht="18.75" hidden="1" customHeight="1">
      <c r="A499" s="23">
        <v>215</v>
      </c>
      <c r="B499" s="171"/>
      <c r="C499" s="179">
        <v>8098</v>
      </c>
      <c r="D499" s="197" t="s">
        <v>286</v>
      </c>
      <c r="E499" s="1371">
        <f t="shared" si="113"/>
        <v>0</v>
      </c>
      <c r="F499" s="1652">
        <v>0</v>
      </c>
      <c r="G499" s="1652">
        <v>0</v>
      </c>
      <c r="H499" s="575">
        <v>0</v>
      </c>
      <c r="I499" s="1652">
        <v>0</v>
      </c>
      <c r="J499" s="1652">
        <v>0</v>
      </c>
      <c r="K499" s="575">
        <v>0</v>
      </c>
      <c r="L499" s="1371">
        <f t="shared" si="114"/>
        <v>0</v>
      </c>
      <c r="M499" s="7" t="str">
        <f t="shared" si="105"/>
        <v/>
      </c>
      <c r="N499" s="514"/>
    </row>
    <row r="500" spans="1:14" s="15" customFormat="1" ht="18.75" hidden="1" customHeight="1">
      <c r="A500" s="22">
        <v>220</v>
      </c>
      <c r="B500" s="566">
        <v>8100</v>
      </c>
      <c r="C500" s="1935" t="s">
        <v>918</v>
      </c>
      <c r="D500" s="1941"/>
      <c r="E500" s="567">
        <f t="shared" ref="E500:L500" si="115">SUM(E501:E504)</f>
        <v>0</v>
      </c>
      <c r="F500" s="576">
        <f t="shared" si="115"/>
        <v>0</v>
      </c>
      <c r="G500" s="569">
        <f t="shared" si="115"/>
        <v>0</v>
      </c>
      <c r="H500" s="570">
        <f>SUM(H501:H504)</f>
        <v>0</v>
      </c>
      <c r="I500" s="576">
        <f t="shared" si="115"/>
        <v>0</v>
      </c>
      <c r="J500" s="569">
        <f t="shared" si="115"/>
        <v>0</v>
      </c>
      <c r="K500" s="570">
        <f t="shared" si="115"/>
        <v>0</v>
      </c>
      <c r="L500" s="567">
        <f t="shared" si="115"/>
        <v>0</v>
      </c>
      <c r="M500" s="7" t="str">
        <f t="shared" si="105"/>
        <v/>
      </c>
      <c r="N500" s="514"/>
    </row>
    <row r="501" spans="1:14" ht="18.75" hidden="1" customHeight="1">
      <c r="A501" s="23">
        <v>225</v>
      </c>
      <c r="B501" s="149"/>
      <c r="C501" s="150">
        <v>8111</v>
      </c>
      <c r="D501" s="187" t="s">
        <v>287</v>
      </c>
      <c r="E501" s="1367">
        <f>F501+G501+H501</f>
        <v>0</v>
      </c>
      <c r="F501" s="1652">
        <v>0</v>
      </c>
      <c r="G501" s="1652">
        <v>0</v>
      </c>
      <c r="H501" s="573">
        <v>0</v>
      </c>
      <c r="I501" s="1652">
        <v>0</v>
      </c>
      <c r="J501" s="1652">
        <v>0</v>
      </c>
      <c r="K501" s="573">
        <v>0</v>
      </c>
      <c r="L501" s="1367">
        <f>I501+J501+K501</f>
        <v>0</v>
      </c>
      <c r="M501" s="7" t="str">
        <f t="shared" si="105"/>
        <v/>
      </c>
      <c r="N501" s="514"/>
    </row>
    <row r="502" spans="1:14" ht="18.75" hidden="1" customHeight="1">
      <c r="A502" s="23">
        <v>230</v>
      </c>
      <c r="B502" s="149"/>
      <c r="C502" s="443">
        <v>8112</v>
      </c>
      <c r="D502" s="603" t="s">
        <v>288</v>
      </c>
      <c r="E502" s="1369">
        <f>F502+G502+H502</f>
        <v>0</v>
      </c>
      <c r="F502" s="1652">
        <v>0</v>
      </c>
      <c r="G502" s="1652">
        <v>0</v>
      </c>
      <c r="H502" s="586">
        <v>0</v>
      </c>
      <c r="I502" s="1652">
        <v>0</v>
      </c>
      <c r="J502" s="1652">
        <v>0</v>
      </c>
      <c r="K502" s="586">
        <v>0</v>
      </c>
      <c r="L502" s="1369">
        <f>I502+J502+K502</f>
        <v>0</v>
      </c>
      <c r="M502" s="7" t="str">
        <f t="shared" si="105"/>
        <v/>
      </c>
      <c r="N502" s="514"/>
    </row>
    <row r="503" spans="1:14" ht="31.5" hidden="1">
      <c r="A503" s="23">
        <v>235</v>
      </c>
      <c r="B503" s="181"/>
      <c r="C503" s="448">
        <v>8121</v>
      </c>
      <c r="D503" s="604" t="s">
        <v>289</v>
      </c>
      <c r="E503" s="1370">
        <f>F503+G503+H503</f>
        <v>0</v>
      </c>
      <c r="F503" s="1652">
        <v>0</v>
      </c>
      <c r="G503" s="1652">
        <v>0</v>
      </c>
      <c r="H503" s="574">
        <v>0</v>
      </c>
      <c r="I503" s="1652">
        <v>0</v>
      </c>
      <c r="J503" s="1652">
        <v>0</v>
      </c>
      <c r="K503" s="574">
        <v>0</v>
      </c>
      <c r="L503" s="1370">
        <f>I503+J503+K503</f>
        <v>0</v>
      </c>
      <c r="M503" s="7" t="str">
        <f t="shared" si="105"/>
        <v/>
      </c>
      <c r="N503" s="514"/>
    </row>
    <row r="504" spans="1:14" ht="31.5" hidden="1">
      <c r="A504" s="23">
        <v>240</v>
      </c>
      <c r="B504" s="149"/>
      <c r="C504" s="179">
        <v>8122</v>
      </c>
      <c r="D504" s="197" t="s">
        <v>23</v>
      </c>
      <c r="E504" s="1371">
        <f>F504+G504+H504</f>
        <v>0</v>
      </c>
      <c r="F504" s="1652">
        <v>0</v>
      </c>
      <c r="G504" s="1652">
        <v>0</v>
      </c>
      <c r="H504" s="574">
        <v>0</v>
      </c>
      <c r="I504" s="1652">
        <v>0</v>
      </c>
      <c r="J504" s="1652">
        <v>0</v>
      </c>
      <c r="K504" s="574">
        <v>0</v>
      </c>
      <c r="L504" s="1371">
        <f>I504+J504+K504</f>
        <v>0</v>
      </c>
      <c r="M504" s="7" t="str">
        <f t="shared" si="105"/>
        <v/>
      </c>
      <c r="N504" s="514"/>
    </row>
    <row r="505" spans="1:14" s="15" customFormat="1" ht="18.75" hidden="1" customHeight="1">
      <c r="A505" s="22">
        <v>245</v>
      </c>
      <c r="B505" s="566">
        <v>8200</v>
      </c>
      <c r="C505" s="1935" t="s">
        <v>24</v>
      </c>
      <c r="D505" s="1941"/>
      <c r="E505" s="594">
        <f>F505+G505+H505</f>
        <v>0</v>
      </c>
      <c r="F505" s="1654">
        <v>0</v>
      </c>
      <c r="G505" s="1655">
        <v>0</v>
      </c>
      <c r="H505" s="1653">
        <v>0</v>
      </c>
      <c r="I505" s="1654">
        <v>0</v>
      </c>
      <c r="J505" s="1655">
        <v>0</v>
      </c>
      <c r="K505" s="1653">
        <v>0</v>
      </c>
      <c r="L505" s="594">
        <f>I505+J505+K505</f>
        <v>0</v>
      </c>
      <c r="M505" s="7" t="str">
        <f t="shared" si="105"/>
        <v/>
      </c>
      <c r="N505" s="514"/>
    </row>
    <row r="506" spans="1:14" s="15" customFormat="1" ht="18.75" hidden="1" customHeight="1">
      <c r="A506" s="22">
        <v>255</v>
      </c>
      <c r="B506" s="566">
        <v>8300</v>
      </c>
      <c r="C506" s="1944" t="s">
        <v>919</v>
      </c>
      <c r="D506" s="1944"/>
      <c r="E506" s="567">
        <f t="shared" ref="E506:L506" si="116">SUM(E507:E514)</f>
        <v>0</v>
      </c>
      <c r="F506" s="576">
        <f t="shared" si="116"/>
        <v>0</v>
      </c>
      <c r="G506" s="569">
        <f t="shared" si="116"/>
        <v>0</v>
      </c>
      <c r="H506" s="570">
        <f>SUM(H507:H514)</f>
        <v>0</v>
      </c>
      <c r="I506" s="576">
        <f t="shared" si="116"/>
        <v>0</v>
      </c>
      <c r="J506" s="569">
        <f t="shared" si="116"/>
        <v>0</v>
      </c>
      <c r="K506" s="570">
        <f t="shared" si="116"/>
        <v>0</v>
      </c>
      <c r="L506" s="567">
        <f t="shared" si="116"/>
        <v>0</v>
      </c>
      <c r="M506" s="7" t="str">
        <f t="shared" si="105"/>
        <v/>
      </c>
      <c r="N506" s="514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7">
        <f t="shared" ref="E507:E514" si="117">F507+G507+H507</f>
        <v>0</v>
      </c>
      <c r="F507" s="152"/>
      <c r="G507" s="153"/>
      <c r="H507" s="573">
        <v>0</v>
      </c>
      <c r="I507" s="152"/>
      <c r="J507" s="153"/>
      <c r="K507" s="573">
        <v>0</v>
      </c>
      <c r="L507" s="1367">
        <f t="shared" ref="L507:L570" si="118">I507+J507+K507</f>
        <v>0</v>
      </c>
      <c r="M507" s="7" t="str">
        <f t="shared" si="105"/>
        <v/>
      </c>
      <c r="N507" s="514"/>
    </row>
    <row r="508" spans="1:14" ht="18.75" hidden="1" customHeight="1">
      <c r="A508" s="24">
        <v>261</v>
      </c>
      <c r="B508" s="149"/>
      <c r="C508" s="162">
        <v>8312</v>
      </c>
      <c r="D508" s="607" t="s">
        <v>26</v>
      </c>
      <c r="E508" s="1380">
        <f t="shared" si="117"/>
        <v>0</v>
      </c>
      <c r="F508" s="164"/>
      <c r="G508" s="165"/>
      <c r="H508" s="586">
        <v>0</v>
      </c>
      <c r="I508" s="164"/>
      <c r="J508" s="165"/>
      <c r="K508" s="586">
        <v>0</v>
      </c>
      <c r="L508" s="1380">
        <f t="shared" si="118"/>
        <v>0</v>
      </c>
      <c r="M508" s="7" t="str">
        <f t="shared" si="105"/>
        <v/>
      </c>
      <c r="N508" s="514"/>
    </row>
    <row r="509" spans="1:14" ht="18.75" hidden="1" customHeight="1">
      <c r="A509" s="24">
        <v>262</v>
      </c>
      <c r="B509" s="149"/>
      <c r="C509" s="448">
        <v>8321</v>
      </c>
      <c r="D509" s="604" t="s">
        <v>27</v>
      </c>
      <c r="E509" s="1370">
        <f t="shared" si="117"/>
        <v>0</v>
      </c>
      <c r="F509" s="450"/>
      <c r="G509" s="451"/>
      <c r="H509" s="574">
        <v>0</v>
      </c>
      <c r="I509" s="450"/>
      <c r="J509" s="451"/>
      <c r="K509" s="574">
        <v>0</v>
      </c>
      <c r="L509" s="1370">
        <f t="shared" si="118"/>
        <v>0</v>
      </c>
      <c r="M509" s="7" t="str">
        <f t="shared" si="105"/>
        <v/>
      </c>
      <c r="N509" s="514"/>
    </row>
    <row r="510" spans="1:14" ht="18.75" hidden="1" customHeight="1">
      <c r="A510" s="24">
        <v>263</v>
      </c>
      <c r="B510" s="149"/>
      <c r="C510" s="443">
        <v>8322</v>
      </c>
      <c r="D510" s="603" t="s">
        <v>28</v>
      </c>
      <c r="E510" s="1369">
        <f t="shared" si="117"/>
        <v>0</v>
      </c>
      <c r="F510" s="445"/>
      <c r="G510" s="446"/>
      <c r="H510" s="586">
        <v>0</v>
      </c>
      <c r="I510" s="445"/>
      <c r="J510" s="446"/>
      <c r="K510" s="586">
        <v>0</v>
      </c>
      <c r="L510" s="1369">
        <f t="shared" si="118"/>
        <v>0</v>
      </c>
      <c r="M510" s="7" t="str">
        <f t="shared" si="105"/>
        <v/>
      </c>
      <c r="N510" s="514"/>
    </row>
    <row r="511" spans="1:14" ht="18.75" hidden="1" customHeight="1">
      <c r="A511" s="24">
        <v>264</v>
      </c>
      <c r="B511" s="181"/>
      <c r="C511" s="448">
        <v>8371</v>
      </c>
      <c r="D511" s="604" t="s">
        <v>29</v>
      </c>
      <c r="E511" s="1370">
        <f t="shared" si="117"/>
        <v>0</v>
      </c>
      <c r="F511" s="450"/>
      <c r="G511" s="451"/>
      <c r="H511" s="574">
        <v>0</v>
      </c>
      <c r="I511" s="450"/>
      <c r="J511" s="451"/>
      <c r="K511" s="574">
        <v>0</v>
      </c>
      <c r="L511" s="1370">
        <f t="shared" si="118"/>
        <v>0</v>
      </c>
      <c r="M511" s="7" t="str">
        <f t="shared" si="105"/>
        <v/>
      </c>
      <c r="N511" s="514"/>
    </row>
    <row r="512" spans="1:14" ht="18.75" hidden="1" customHeight="1">
      <c r="A512" s="24">
        <v>265</v>
      </c>
      <c r="B512" s="149"/>
      <c r="C512" s="443">
        <v>8372</v>
      </c>
      <c r="D512" s="603" t="s">
        <v>30</v>
      </c>
      <c r="E512" s="1369">
        <f t="shared" si="117"/>
        <v>0</v>
      </c>
      <c r="F512" s="445"/>
      <c r="G512" s="446"/>
      <c r="H512" s="586">
        <v>0</v>
      </c>
      <c r="I512" s="445"/>
      <c r="J512" s="446"/>
      <c r="K512" s="586">
        <v>0</v>
      </c>
      <c r="L512" s="1369">
        <f t="shared" si="118"/>
        <v>0</v>
      </c>
      <c r="M512" s="7" t="str">
        <f t="shared" si="105"/>
        <v/>
      </c>
      <c r="N512" s="514"/>
    </row>
    <row r="513" spans="1:14" ht="18.75" hidden="1" customHeight="1">
      <c r="A513" s="24">
        <v>266</v>
      </c>
      <c r="B513" s="149"/>
      <c r="C513" s="448">
        <v>8381</v>
      </c>
      <c r="D513" s="604" t="s">
        <v>31</v>
      </c>
      <c r="E513" s="1370">
        <f t="shared" si="117"/>
        <v>0</v>
      </c>
      <c r="F513" s="450"/>
      <c r="G513" s="451"/>
      <c r="H513" s="574">
        <v>0</v>
      </c>
      <c r="I513" s="450"/>
      <c r="J513" s="451"/>
      <c r="K513" s="574">
        <v>0</v>
      </c>
      <c r="L513" s="1370">
        <f t="shared" si="118"/>
        <v>0</v>
      </c>
      <c r="M513" s="7" t="str">
        <f t="shared" si="105"/>
        <v/>
      </c>
      <c r="N513" s="514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71">
        <f t="shared" si="117"/>
        <v>0</v>
      </c>
      <c r="F514" s="173"/>
      <c r="G514" s="174"/>
      <c r="H514" s="574">
        <v>0</v>
      </c>
      <c r="I514" s="173"/>
      <c r="J514" s="174"/>
      <c r="K514" s="574">
        <v>0</v>
      </c>
      <c r="L514" s="1371">
        <f t="shared" si="118"/>
        <v>0</v>
      </c>
      <c r="M514" s="7" t="str">
        <f t="shared" si="105"/>
        <v/>
      </c>
      <c r="N514" s="514"/>
    </row>
    <row r="515" spans="1:14" s="15" customFormat="1" hidden="1">
      <c r="A515" s="22">
        <v>295</v>
      </c>
      <c r="B515" s="566">
        <v>8500</v>
      </c>
      <c r="C515" s="1940" t="s">
        <v>33</v>
      </c>
      <c r="D515" s="1940"/>
      <c r="E515" s="567">
        <f t="shared" ref="E515:L515" si="119">SUM(E516:E518)</f>
        <v>0</v>
      </c>
      <c r="F515" s="576">
        <f t="shared" si="119"/>
        <v>0</v>
      </c>
      <c r="G515" s="569">
        <f t="shared" si="119"/>
        <v>0</v>
      </c>
      <c r="H515" s="570">
        <f>SUM(H516:H518)</f>
        <v>0</v>
      </c>
      <c r="I515" s="576">
        <f t="shared" si="119"/>
        <v>0</v>
      </c>
      <c r="J515" s="569">
        <f t="shared" si="119"/>
        <v>0</v>
      </c>
      <c r="K515" s="570">
        <f t="shared" si="119"/>
        <v>0</v>
      </c>
      <c r="L515" s="567">
        <f t="shared" si="119"/>
        <v>0</v>
      </c>
      <c r="M515" s="7" t="str">
        <f t="shared" si="105"/>
        <v/>
      </c>
      <c r="N515" s="514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7">
        <f>F516+G516+H516</f>
        <v>0</v>
      </c>
      <c r="F516" s="152"/>
      <c r="G516" s="153"/>
      <c r="H516" s="573">
        <v>0</v>
      </c>
      <c r="I516" s="152"/>
      <c r="J516" s="153"/>
      <c r="K516" s="573">
        <v>0</v>
      </c>
      <c r="L516" s="1367">
        <f t="shared" si="118"/>
        <v>0</v>
      </c>
      <c r="M516" s="7" t="str">
        <f t="shared" si="105"/>
        <v/>
      </c>
      <c r="N516" s="514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8">
        <f>F517+G517+H517</f>
        <v>0</v>
      </c>
      <c r="F517" s="158"/>
      <c r="G517" s="159"/>
      <c r="H517" s="574">
        <v>0</v>
      </c>
      <c r="I517" s="158"/>
      <c r="J517" s="159"/>
      <c r="K517" s="574">
        <v>0</v>
      </c>
      <c r="L517" s="1368">
        <f t="shared" si="118"/>
        <v>0</v>
      </c>
      <c r="M517" s="7" t="str">
        <f t="shared" si="105"/>
        <v/>
      </c>
      <c r="N517" s="514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71">
        <f>F518+G518+H518</f>
        <v>0</v>
      </c>
      <c r="F518" s="173"/>
      <c r="G518" s="174"/>
      <c r="H518" s="575">
        <v>0</v>
      </c>
      <c r="I518" s="173"/>
      <c r="J518" s="174"/>
      <c r="K518" s="575">
        <v>0</v>
      </c>
      <c r="L518" s="1371">
        <f t="shared" si="118"/>
        <v>0</v>
      </c>
      <c r="M518" s="7" t="str">
        <f t="shared" si="105"/>
        <v/>
      </c>
      <c r="N518" s="514"/>
    </row>
    <row r="519" spans="1:14" s="15" customFormat="1" hidden="1">
      <c r="A519" s="22">
        <v>315</v>
      </c>
      <c r="B519" s="566">
        <v>8600</v>
      </c>
      <c r="C519" s="1940" t="s">
        <v>37</v>
      </c>
      <c r="D519" s="1940"/>
      <c r="E519" s="567">
        <f t="shared" ref="E519:L519" si="120">SUM(E520:E523)</f>
        <v>0</v>
      </c>
      <c r="F519" s="576">
        <f t="shared" si="120"/>
        <v>0</v>
      </c>
      <c r="G519" s="569">
        <f t="shared" si="120"/>
        <v>0</v>
      </c>
      <c r="H519" s="570">
        <f>SUM(H520:H523)</f>
        <v>0</v>
      </c>
      <c r="I519" s="576">
        <f t="shared" si="120"/>
        <v>0</v>
      </c>
      <c r="J519" s="569">
        <f t="shared" si="120"/>
        <v>0</v>
      </c>
      <c r="K519" s="570">
        <f t="shared" si="120"/>
        <v>0</v>
      </c>
      <c r="L519" s="567">
        <f t="shared" si="120"/>
        <v>0</v>
      </c>
      <c r="M519" s="7" t="str">
        <f t="shared" si="105"/>
        <v/>
      </c>
      <c r="N519" s="514"/>
    </row>
    <row r="520" spans="1:14" ht="18.75" hidden="1" customHeight="1">
      <c r="A520" s="23">
        <v>320</v>
      </c>
      <c r="B520" s="149"/>
      <c r="C520" s="457">
        <v>8611</v>
      </c>
      <c r="D520" s="608" t="s">
        <v>38</v>
      </c>
      <c r="E520" s="1372">
        <f>F520+G520+H520</f>
        <v>0</v>
      </c>
      <c r="F520" s="459"/>
      <c r="G520" s="460"/>
      <c r="H520" s="586">
        <v>0</v>
      </c>
      <c r="I520" s="459"/>
      <c r="J520" s="460"/>
      <c r="K520" s="586">
        <v>0</v>
      </c>
      <c r="L520" s="1372">
        <f t="shared" si="118"/>
        <v>0</v>
      </c>
      <c r="M520" s="7" t="str">
        <f t="shared" si="105"/>
        <v/>
      </c>
      <c r="N520" s="514"/>
    </row>
    <row r="521" spans="1:14" ht="18.75" hidden="1" customHeight="1">
      <c r="A521" s="23">
        <v>325</v>
      </c>
      <c r="B521" s="149"/>
      <c r="C521" s="448">
        <v>8621</v>
      </c>
      <c r="D521" s="449" t="s">
        <v>39</v>
      </c>
      <c r="E521" s="1370">
        <f>F521+G521+H521</f>
        <v>0</v>
      </c>
      <c r="F521" s="450"/>
      <c r="G521" s="451"/>
      <c r="H521" s="574">
        <v>0</v>
      </c>
      <c r="I521" s="450"/>
      <c r="J521" s="451"/>
      <c r="K521" s="574">
        <v>0</v>
      </c>
      <c r="L521" s="1370">
        <f t="shared" si="118"/>
        <v>0</v>
      </c>
      <c r="M521" s="7" t="str">
        <f t="shared" si="105"/>
        <v/>
      </c>
      <c r="N521" s="514"/>
    </row>
    <row r="522" spans="1:14" ht="18.75" hidden="1" customHeight="1">
      <c r="A522" s="23">
        <v>330</v>
      </c>
      <c r="B522" s="149"/>
      <c r="C522" s="443">
        <v>8623</v>
      </c>
      <c r="D522" s="444" t="s">
        <v>40</v>
      </c>
      <c r="E522" s="1369">
        <f>F522+G522+H522</f>
        <v>0</v>
      </c>
      <c r="F522" s="445"/>
      <c r="G522" s="446"/>
      <c r="H522" s="586">
        <v>0</v>
      </c>
      <c r="I522" s="445"/>
      <c r="J522" s="446"/>
      <c r="K522" s="586">
        <v>0</v>
      </c>
      <c r="L522" s="1369">
        <f t="shared" si="118"/>
        <v>0</v>
      </c>
      <c r="M522" s="7" t="str">
        <f t="shared" si="105"/>
        <v/>
      </c>
      <c r="N522" s="514"/>
    </row>
    <row r="523" spans="1:14" ht="18.75" hidden="1" customHeight="1">
      <c r="A523" s="23">
        <v>340</v>
      </c>
      <c r="B523" s="149"/>
      <c r="C523" s="464">
        <v>8640</v>
      </c>
      <c r="D523" s="609" t="s">
        <v>466</v>
      </c>
      <c r="E523" s="1386">
        <f>F523+G523+H523</f>
        <v>0</v>
      </c>
      <c r="F523" s="1703">
        <v>0</v>
      </c>
      <c r="G523" s="1705">
        <v>0</v>
      </c>
      <c r="H523" s="1701">
        <v>0</v>
      </c>
      <c r="I523" s="1703">
        <v>0</v>
      </c>
      <c r="J523" s="1705">
        <v>0</v>
      </c>
      <c r="K523" s="1701">
        <v>0</v>
      </c>
      <c r="L523" s="1386">
        <f t="shared" si="118"/>
        <v>0</v>
      </c>
      <c r="M523" s="7" t="str">
        <f t="shared" si="105"/>
        <v/>
      </c>
      <c r="N523" s="514"/>
    </row>
    <row r="524" spans="1:14" s="15" customFormat="1" hidden="1">
      <c r="A524" s="22">
        <v>295</v>
      </c>
      <c r="B524" s="566">
        <v>8700</v>
      </c>
      <c r="C524" s="1940" t="s">
        <v>920</v>
      </c>
      <c r="D524" s="1956"/>
      <c r="E524" s="567">
        <f t="shared" ref="E524:L524" si="121">SUM(E525:E526)</f>
        <v>0</v>
      </c>
      <c r="F524" s="576">
        <f t="shared" si="121"/>
        <v>0</v>
      </c>
      <c r="G524" s="569">
        <f t="shared" si="121"/>
        <v>0</v>
      </c>
      <c r="H524" s="570">
        <f>SUM(H525:H526)</f>
        <v>0</v>
      </c>
      <c r="I524" s="576">
        <f t="shared" si="121"/>
        <v>0</v>
      </c>
      <c r="J524" s="569">
        <f t="shared" si="121"/>
        <v>0</v>
      </c>
      <c r="K524" s="570">
        <f t="shared" si="121"/>
        <v>0</v>
      </c>
      <c r="L524" s="567">
        <f t="shared" si="121"/>
        <v>0</v>
      </c>
      <c r="M524" s="7" t="str">
        <f t="shared" si="105"/>
        <v/>
      </c>
      <c r="N524" s="514"/>
    </row>
    <row r="525" spans="1:14" hidden="1">
      <c r="A525" s="23">
        <v>300</v>
      </c>
      <c r="B525" s="149"/>
      <c r="C525" s="150">
        <v>8733</v>
      </c>
      <c r="D525" s="151" t="s">
        <v>290</v>
      </c>
      <c r="E525" s="1367">
        <f>F525+G525+H525</f>
        <v>0</v>
      </c>
      <c r="F525" s="1652">
        <v>0</v>
      </c>
      <c r="G525" s="1652">
        <v>0</v>
      </c>
      <c r="H525" s="573">
        <v>0</v>
      </c>
      <c r="I525" s="1652">
        <v>0</v>
      </c>
      <c r="J525" s="1652">
        <v>0</v>
      </c>
      <c r="K525" s="573">
        <v>0</v>
      </c>
      <c r="L525" s="1367">
        <f t="shared" si="118"/>
        <v>0</v>
      </c>
      <c r="M525" s="7" t="str">
        <f t="shared" si="105"/>
        <v/>
      </c>
      <c r="N525" s="514"/>
    </row>
    <row r="526" spans="1:14" hidden="1">
      <c r="A526" s="23">
        <v>310</v>
      </c>
      <c r="B526" s="149"/>
      <c r="C526" s="179">
        <v>8766</v>
      </c>
      <c r="D526" s="197" t="s">
        <v>291</v>
      </c>
      <c r="E526" s="1371">
        <f>F526+G526+H526</f>
        <v>0</v>
      </c>
      <c r="F526" s="1652">
        <v>0</v>
      </c>
      <c r="G526" s="1652">
        <v>0</v>
      </c>
      <c r="H526" s="586">
        <v>0</v>
      </c>
      <c r="I526" s="1652">
        <v>0</v>
      </c>
      <c r="J526" s="1652">
        <v>0</v>
      </c>
      <c r="K526" s="586">
        <v>0</v>
      </c>
      <c r="L526" s="1371">
        <f t="shared" si="118"/>
        <v>0</v>
      </c>
      <c r="M526" s="7" t="str">
        <f t="shared" si="105"/>
        <v/>
      </c>
      <c r="N526" s="514"/>
    </row>
    <row r="527" spans="1:14" s="15" customFormat="1" ht="18" customHeight="1">
      <c r="A527" s="22">
        <v>355</v>
      </c>
      <c r="B527" s="610">
        <v>8800</v>
      </c>
      <c r="C527" s="1935" t="s">
        <v>921</v>
      </c>
      <c r="D527" s="1936"/>
      <c r="E527" s="567">
        <f t="shared" ref="E527:L527" si="122">SUM(E528:E533)</f>
        <v>0</v>
      </c>
      <c r="F527" s="576">
        <f t="shared" si="122"/>
        <v>0</v>
      </c>
      <c r="G527" s="569">
        <f t="shared" si="122"/>
        <v>0</v>
      </c>
      <c r="H527" s="570">
        <f>SUM(H528:H533)</f>
        <v>0</v>
      </c>
      <c r="I527" s="576">
        <f t="shared" si="122"/>
        <v>7723</v>
      </c>
      <c r="J527" s="569">
        <f t="shared" si="122"/>
        <v>0</v>
      </c>
      <c r="K527" s="570">
        <f t="shared" si="122"/>
        <v>0</v>
      </c>
      <c r="L527" s="567">
        <f t="shared" si="122"/>
        <v>7723</v>
      </c>
      <c r="M527" s="7">
        <f t="shared" si="105"/>
        <v>1</v>
      </c>
      <c r="N527" s="514"/>
    </row>
    <row r="528" spans="1:14" ht="18" hidden="1" customHeight="1">
      <c r="A528" s="23">
        <v>360</v>
      </c>
      <c r="B528" s="149"/>
      <c r="C528" s="150">
        <v>8801</v>
      </c>
      <c r="D528" s="151" t="s">
        <v>295</v>
      </c>
      <c r="E528" s="1377">
        <f t="shared" ref="E528:E533" si="123">F528+G528+H528</f>
        <v>0</v>
      </c>
      <c r="F528" s="1704">
        <v>0</v>
      </c>
      <c r="G528" s="1706">
        <v>0</v>
      </c>
      <c r="H528" s="1702">
        <v>0</v>
      </c>
      <c r="I528" s="1704">
        <v>0</v>
      </c>
      <c r="J528" s="1706">
        <v>0</v>
      </c>
      <c r="K528" s="1702">
        <v>0</v>
      </c>
      <c r="L528" s="1377">
        <f t="shared" si="118"/>
        <v>0</v>
      </c>
      <c r="M528" s="7" t="str">
        <f t="shared" ref="M528:M591" si="124">(IF($E528&lt;&gt;0,$M$2,IF($L528&lt;&gt;0,$M$2,"")))</f>
        <v/>
      </c>
      <c r="N528" s="514"/>
    </row>
    <row r="529" spans="1:14" ht="18" hidden="1" customHeight="1">
      <c r="A529" s="23">
        <v>365</v>
      </c>
      <c r="B529" s="149"/>
      <c r="C529" s="156">
        <v>8802</v>
      </c>
      <c r="D529" s="157" t="s">
        <v>296</v>
      </c>
      <c r="E529" s="1375">
        <f t="shared" si="123"/>
        <v>0</v>
      </c>
      <c r="F529" s="158"/>
      <c r="G529" s="159"/>
      <c r="H529" s="574">
        <v>0</v>
      </c>
      <c r="I529" s="158"/>
      <c r="J529" s="159"/>
      <c r="K529" s="574">
        <v>0</v>
      </c>
      <c r="L529" s="1375">
        <f t="shared" si="118"/>
        <v>0</v>
      </c>
      <c r="M529" s="7" t="str">
        <f t="shared" si="124"/>
        <v/>
      </c>
      <c r="N529" s="514"/>
    </row>
    <row r="530" spans="1:14" ht="32.25" customHeight="1">
      <c r="A530" s="23">
        <v>365</v>
      </c>
      <c r="B530" s="149"/>
      <c r="C530" s="156">
        <v>8803</v>
      </c>
      <c r="D530" s="157" t="s">
        <v>922</v>
      </c>
      <c r="E530" s="1375">
        <f t="shared" si="123"/>
        <v>0</v>
      </c>
      <c r="F530" s="158"/>
      <c r="G530" s="159"/>
      <c r="H530" s="574">
        <v>0</v>
      </c>
      <c r="I530" s="158">
        <v>7723</v>
      </c>
      <c r="J530" s="159"/>
      <c r="K530" s="574">
        <v>0</v>
      </c>
      <c r="L530" s="1375">
        <f t="shared" si="118"/>
        <v>7723</v>
      </c>
      <c r="M530" s="7">
        <f t="shared" si="124"/>
        <v>1</v>
      </c>
      <c r="N530" s="514"/>
    </row>
    <row r="531" spans="1:14" ht="18" hidden="1" customHeight="1">
      <c r="A531" s="23">
        <v>370</v>
      </c>
      <c r="B531" s="149"/>
      <c r="C531" s="156">
        <v>8804</v>
      </c>
      <c r="D531" s="157" t="s">
        <v>292</v>
      </c>
      <c r="E531" s="1375">
        <f t="shared" si="123"/>
        <v>0</v>
      </c>
      <c r="F531" s="158"/>
      <c r="G531" s="159"/>
      <c r="H531" s="574">
        <v>0</v>
      </c>
      <c r="I531" s="158"/>
      <c r="J531" s="159"/>
      <c r="K531" s="574">
        <v>0</v>
      </c>
      <c r="L531" s="1375">
        <f t="shared" si="118"/>
        <v>0</v>
      </c>
      <c r="M531" s="7" t="str">
        <f t="shared" si="124"/>
        <v/>
      </c>
      <c r="N531" s="514"/>
    </row>
    <row r="532" spans="1:14" ht="18" hidden="1" customHeight="1">
      <c r="A532" s="23">
        <v>365</v>
      </c>
      <c r="B532" s="149"/>
      <c r="C532" s="156">
        <v>8805</v>
      </c>
      <c r="D532" s="611" t="s">
        <v>293</v>
      </c>
      <c r="E532" s="1375">
        <f t="shared" si="123"/>
        <v>0</v>
      </c>
      <c r="F532" s="158"/>
      <c r="G532" s="159"/>
      <c r="H532" s="574">
        <v>0</v>
      </c>
      <c r="I532" s="158"/>
      <c r="J532" s="159"/>
      <c r="K532" s="574">
        <v>0</v>
      </c>
      <c r="L532" s="1375">
        <f t="shared" si="118"/>
        <v>0</v>
      </c>
      <c r="M532" s="7" t="str">
        <f t="shared" si="124"/>
        <v/>
      </c>
      <c r="N532" s="514"/>
    </row>
    <row r="533" spans="1:14" ht="18" hidden="1" customHeight="1">
      <c r="A533" s="23">
        <v>370</v>
      </c>
      <c r="B533" s="149"/>
      <c r="C533" s="179">
        <v>8809</v>
      </c>
      <c r="D533" s="172" t="s">
        <v>294</v>
      </c>
      <c r="E533" s="1376">
        <f t="shared" si="123"/>
        <v>0</v>
      </c>
      <c r="F533" s="173"/>
      <c r="G533" s="174"/>
      <c r="H533" s="586">
        <v>0</v>
      </c>
      <c r="I533" s="173"/>
      <c r="J533" s="174"/>
      <c r="K533" s="586">
        <v>0</v>
      </c>
      <c r="L533" s="1376">
        <f t="shared" si="118"/>
        <v>0</v>
      </c>
      <c r="M533" s="7" t="str">
        <f t="shared" si="124"/>
        <v/>
      </c>
      <c r="N533" s="514"/>
    </row>
    <row r="534" spans="1:14" s="15" customFormat="1" ht="18" hidden="1" customHeight="1">
      <c r="A534" s="22">
        <v>375</v>
      </c>
      <c r="B534" s="566">
        <v>8900</v>
      </c>
      <c r="C534" s="1958" t="s">
        <v>307</v>
      </c>
      <c r="D534" s="1959"/>
      <c r="E534" s="567">
        <f t="shared" ref="E534:L534" si="125">SUM(E535:E537)</f>
        <v>0</v>
      </c>
      <c r="F534" s="576">
        <f t="shared" si="125"/>
        <v>0</v>
      </c>
      <c r="G534" s="569">
        <f t="shared" si="125"/>
        <v>0</v>
      </c>
      <c r="H534" s="570">
        <f>SUM(H535:H537)</f>
        <v>0</v>
      </c>
      <c r="I534" s="576">
        <f t="shared" si="125"/>
        <v>0</v>
      </c>
      <c r="J534" s="569">
        <f t="shared" si="125"/>
        <v>0</v>
      </c>
      <c r="K534" s="570">
        <f t="shared" si="125"/>
        <v>0</v>
      </c>
      <c r="L534" s="567">
        <f t="shared" si="125"/>
        <v>0</v>
      </c>
      <c r="M534" s="7" t="str">
        <f t="shared" si="124"/>
        <v/>
      </c>
      <c r="N534" s="514"/>
    </row>
    <row r="535" spans="1:14" ht="18" hidden="1" customHeight="1">
      <c r="A535" s="23">
        <v>380</v>
      </c>
      <c r="B535" s="195"/>
      <c r="C535" s="150">
        <v>8901</v>
      </c>
      <c r="D535" s="151" t="s">
        <v>791</v>
      </c>
      <c r="E535" s="1377">
        <f t="shared" ref="E535:E598" si="126">F535+G535+H535</f>
        <v>0</v>
      </c>
      <c r="F535" s="1652">
        <v>0</v>
      </c>
      <c r="G535" s="1652">
        <v>0</v>
      </c>
      <c r="H535" s="573">
        <v>0</v>
      </c>
      <c r="I535" s="1652">
        <v>0</v>
      </c>
      <c r="J535" s="1652">
        <v>0</v>
      </c>
      <c r="K535" s="573">
        <v>0</v>
      </c>
      <c r="L535" s="1377">
        <f t="shared" si="118"/>
        <v>0</v>
      </c>
      <c r="M535" s="7" t="str">
        <f t="shared" si="124"/>
        <v/>
      </c>
      <c r="N535" s="514"/>
    </row>
    <row r="536" spans="1:14" ht="31.5" hidden="1">
      <c r="A536" s="23">
        <v>385</v>
      </c>
      <c r="B536" s="195"/>
      <c r="C536" s="156">
        <v>8902</v>
      </c>
      <c r="D536" s="157" t="s">
        <v>792</v>
      </c>
      <c r="E536" s="1375">
        <f t="shared" si="126"/>
        <v>0</v>
      </c>
      <c r="F536" s="1652">
        <v>0</v>
      </c>
      <c r="G536" s="1652">
        <v>0</v>
      </c>
      <c r="H536" s="574">
        <v>0</v>
      </c>
      <c r="I536" s="1652">
        <v>0</v>
      </c>
      <c r="J536" s="1652">
        <v>0</v>
      </c>
      <c r="K536" s="574">
        <v>0</v>
      </c>
      <c r="L536" s="1375">
        <f t="shared" si="118"/>
        <v>0</v>
      </c>
      <c r="M536" s="7" t="str">
        <f t="shared" si="124"/>
        <v/>
      </c>
      <c r="N536" s="514"/>
    </row>
    <row r="537" spans="1:14" ht="31.5" hidden="1">
      <c r="A537" s="23">
        <v>390</v>
      </c>
      <c r="B537" s="195"/>
      <c r="C537" s="179">
        <v>8903</v>
      </c>
      <c r="D537" s="172" t="s">
        <v>693</v>
      </c>
      <c r="E537" s="1376">
        <f t="shared" si="126"/>
        <v>0</v>
      </c>
      <c r="F537" s="1652">
        <v>0</v>
      </c>
      <c r="G537" s="1652">
        <v>0</v>
      </c>
      <c r="H537" s="575">
        <v>0</v>
      </c>
      <c r="I537" s="1652">
        <v>0</v>
      </c>
      <c r="J537" s="1652">
        <v>0</v>
      </c>
      <c r="K537" s="575">
        <v>0</v>
      </c>
      <c r="L537" s="1376">
        <f t="shared" si="118"/>
        <v>0</v>
      </c>
      <c r="M537" s="7" t="str">
        <f t="shared" si="124"/>
        <v/>
      </c>
      <c r="N537" s="514"/>
    </row>
    <row r="538" spans="1:14" s="15" customFormat="1" hidden="1">
      <c r="A538" s="22">
        <v>395</v>
      </c>
      <c r="B538" s="566">
        <v>9000</v>
      </c>
      <c r="C538" s="1940" t="s">
        <v>923</v>
      </c>
      <c r="D538" s="1940"/>
      <c r="E538" s="594">
        <f t="shared" si="126"/>
        <v>0</v>
      </c>
      <c r="F538" s="605"/>
      <c r="G538" s="606"/>
      <c r="H538" s="1461">
        <v>0</v>
      </c>
      <c r="I538" s="605"/>
      <c r="J538" s="606"/>
      <c r="K538" s="1461">
        <v>0</v>
      </c>
      <c r="L538" s="594">
        <f t="shared" si="118"/>
        <v>0</v>
      </c>
      <c r="M538" s="7" t="str">
        <f t="shared" si="124"/>
        <v/>
      </c>
      <c r="N538" s="514"/>
    </row>
    <row r="539" spans="1:14" s="15" customFormat="1" ht="30" hidden="1" customHeight="1">
      <c r="A539" s="22">
        <v>405</v>
      </c>
      <c r="B539" s="612">
        <v>9100</v>
      </c>
      <c r="C539" s="1955" t="s">
        <v>924</v>
      </c>
      <c r="D539" s="1955"/>
      <c r="E539" s="613">
        <f t="shared" ref="E539:L539" si="127">SUM(E540:E543)</f>
        <v>0</v>
      </c>
      <c r="F539" s="614">
        <f t="shared" si="127"/>
        <v>0</v>
      </c>
      <c r="G539" s="615">
        <f t="shared" si="127"/>
        <v>0</v>
      </c>
      <c r="H539" s="570">
        <f>SUM(H540:H543)</f>
        <v>0</v>
      </c>
      <c r="I539" s="614">
        <f t="shared" si="127"/>
        <v>0</v>
      </c>
      <c r="J539" s="615">
        <f t="shared" si="127"/>
        <v>0</v>
      </c>
      <c r="K539" s="570">
        <f t="shared" si="127"/>
        <v>0</v>
      </c>
      <c r="L539" s="613">
        <f t="shared" si="127"/>
        <v>0</v>
      </c>
      <c r="M539" s="7" t="str">
        <f t="shared" si="124"/>
        <v/>
      </c>
      <c r="N539" s="514"/>
    </row>
    <row r="540" spans="1:14" ht="18.75" hidden="1" customHeight="1">
      <c r="A540" s="23">
        <v>410</v>
      </c>
      <c r="B540" s="149"/>
      <c r="C540" s="150">
        <v>9111</v>
      </c>
      <c r="D540" s="187" t="s">
        <v>469</v>
      </c>
      <c r="E540" s="1367">
        <f t="shared" si="126"/>
        <v>0</v>
      </c>
      <c r="F540" s="152"/>
      <c r="G540" s="153"/>
      <c r="H540" s="573">
        <v>0</v>
      </c>
      <c r="I540" s="152"/>
      <c r="J540" s="153"/>
      <c r="K540" s="573">
        <v>0</v>
      </c>
      <c r="L540" s="1367">
        <f t="shared" si="118"/>
        <v>0</v>
      </c>
      <c r="M540" s="7" t="str">
        <f t="shared" si="124"/>
        <v/>
      </c>
      <c r="N540" s="514"/>
    </row>
    <row r="541" spans="1:14" ht="18.75" hidden="1" customHeight="1">
      <c r="A541" s="23">
        <v>415</v>
      </c>
      <c r="B541" s="149"/>
      <c r="C541" s="156">
        <v>9112</v>
      </c>
      <c r="D541" s="593" t="s">
        <v>470</v>
      </c>
      <c r="E541" s="1368">
        <f t="shared" si="126"/>
        <v>0</v>
      </c>
      <c r="F541" s="158"/>
      <c r="G541" s="159"/>
      <c r="H541" s="574">
        <v>0</v>
      </c>
      <c r="I541" s="158"/>
      <c r="J541" s="159"/>
      <c r="K541" s="574">
        <v>0</v>
      </c>
      <c r="L541" s="1368">
        <f t="shared" si="118"/>
        <v>0</v>
      </c>
      <c r="M541" s="7" t="str">
        <f t="shared" si="124"/>
        <v/>
      </c>
      <c r="N541" s="514"/>
    </row>
    <row r="542" spans="1:14" ht="18.75" hidden="1" customHeight="1">
      <c r="A542" s="23">
        <v>420</v>
      </c>
      <c r="B542" s="149"/>
      <c r="C542" s="156">
        <v>9121</v>
      </c>
      <c r="D542" s="593" t="s">
        <v>471</v>
      </c>
      <c r="E542" s="1368">
        <f t="shared" si="126"/>
        <v>0</v>
      </c>
      <c r="F542" s="158"/>
      <c r="G542" s="159"/>
      <c r="H542" s="574">
        <v>0</v>
      </c>
      <c r="I542" s="158"/>
      <c r="J542" s="159"/>
      <c r="K542" s="574">
        <v>0</v>
      </c>
      <c r="L542" s="1368">
        <f t="shared" si="118"/>
        <v>0</v>
      </c>
      <c r="M542" s="7" t="str">
        <f t="shared" si="124"/>
        <v/>
      </c>
      <c r="N542" s="514"/>
    </row>
    <row r="543" spans="1:14" ht="18.75" hidden="1" customHeight="1">
      <c r="A543" s="23">
        <v>425</v>
      </c>
      <c r="B543" s="149"/>
      <c r="C543" s="179">
        <v>9122</v>
      </c>
      <c r="D543" s="197" t="s">
        <v>472</v>
      </c>
      <c r="E543" s="1371">
        <f t="shared" si="126"/>
        <v>0</v>
      </c>
      <c r="F543" s="173"/>
      <c r="G543" s="174"/>
      <c r="H543" s="575">
        <v>0</v>
      </c>
      <c r="I543" s="173"/>
      <c r="J543" s="174"/>
      <c r="K543" s="575">
        <v>0</v>
      </c>
      <c r="L543" s="1371">
        <f t="shared" si="118"/>
        <v>0</v>
      </c>
      <c r="M543" s="7" t="str">
        <f t="shared" si="124"/>
        <v/>
      </c>
      <c r="N543" s="514"/>
    </row>
    <row r="544" spans="1:14" s="15" customFormat="1" ht="29.25" hidden="1" customHeight="1">
      <c r="A544" s="22">
        <v>430</v>
      </c>
      <c r="B544" s="566">
        <v>9200</v>
      </c>
      <c r="C544" s="1957" t="s">
        <v>925</v>
      </c>
      <c r="D544" s="1936"/>
      <c r="E544" s="567">
        <f t="shared" ref="E544:L544" si="128">+E545+E546</f>
        <v>0</v>
      </c>
      <c r="F544" s="576">
        <f t="shared" si="128"/>
        <v>0</v>
      </c>
      <c r="G544" s="569">
        <f t="shared" si="128"/>
        <v>0</v>
      </c>
      <c r="H544" s="570">
        <f>+H545+H546</f>
        <v>0</v>
      </c>
      <c r="I544" s="576">
        <f t="shared" si="128"/>
        <v>0</v>
      </c>
      <c r="J544" s="569">
        <f t="shared" si="128"/>
        <v>0</v>
      </c>
      <c r="K544" s="570">
        <f t="shared" si="128"/>
        <v>0</v>
      </c>
      <c r="L544" s="567">
        <f t="shared" si="128"/>
        <v>0</v>
      </c>
      <c r="M544" s="7" t="str">
        <f t="shared" si="124"/>
        <v/>
      </c>
      <c r="N544" s="514"/>
    </row>
    <row r="545" spans="1:14" ht="18.75" hidden="1" customHeight="1">
      <c r="A545" s="23">
        <v>435</v>
      </c>
      <c r="B545" s="149"/>
      <c r="C545" s="150">
        <v>9201</v>
      </c>
      <c r="D545" s="151" t="s">
        <v>473</v>
      </c>
      <c r="E545" s="1377">
        <f t="shared" si="126"/>
        <v>0</v>
      </c>
      <c r="F545" s="152"/>
      <c r="G545" s="153"/>
      <c r="H545" s="573">
        <v>0</v>
      </c>
      <c r="I545" s="152"/>
      <c r="J545" s="153"/>
      <c r="K545" s="573">
        <v>0</v>
      </c>
      <c r="L545" s="1377">
        <f t="shared" si="118"/>
        <v>0</v>
      </c>
      <c r="M545" s="7" t="str">
        <f t="shared" si="124"/>
        <v/>
      </c>
      <c r="N545" s="514"/>
    </row>
    <row r="546" spans="1:14" ht="18.75" hidden="1" customHeight="1">
      <c r="A546" s="36">
        <v>440</v>
      </c>
      <c r="B546" s="149"/>
      <c r="C546" s="179">
        <v>9202</v>
      </c>
      <c r="D546" s="172" t="s">
        <v>474</v>
      </c>
      <c r="E546" s="1376">
        <f t="shared" si="126"/>
        <v>0</v>
      </c>
      <c r="F546" s="173"/>
      <c r="G546" s="174"/>
      <c r="H546" s="586">
        <v>0</v>
      </c>
      <c r="I546" s="173"/>
      <c r="J546" s="174"/>
      <c r="K546" s="586">
        <v>0</v>
      </c>
      <c r="L546" s="1376">
        <f t="shared" si="118"/>
        <v>0</v>
      </c>
      <c r="M546" s="7" t="str">
        <f t="shared" si="124"/>
        <v/>
      </c>
      <c r="N546" s="514"/>
    </row>
    <row r="547" spans="1:14" s="15" customFormat="1" ht="18.75" hidden="1" customHeight="1">
      <c r="A547" s="39">
        <v>445</v>
      </c>
      <c r="B547" s="566">
        <v>9300</v>
      </c>
      <c r="C547" s="1940" t="s">
        <v>926</v>
      </c>
      <c r="D547" s="1940"/>
      <c r="E547" s="567">
        <f t="shared" ref="E547:L547" si="129">SUM(E548:E568)</f>
        <v>0</v>
      </c>
      <c r="F547" s="576">
        <f t="shared" si="129"/>
        <v>0</v>
      </c>
      <c r="G547" s="569">
        <f t="shared" si="129"/>
        <v>0</v>
      </c>
      <c r="H547" s="570">
        <f>SUM(H548:H568)</f>
        <v>0</v>
      </c>
      <c r="I547" s="576">
        <f t="shared" si="129"/>
        <v>0</v>
      </c>
      <c r="J547" s="569">
        <f t="shared" si="129"/>
        <v>0</v>
      </c>
      <c r="K547" s="570">
        <f t="shared" si="129"/>
        <v>0</v>
      </c>
      <c r="L547" s="567">
        <f t="shared" si="129"/>
        <v>0</v>
      </c>
      <c r="M547" s="7" t="str">
        <f t="shared" si="124"/>
        <v/>
      </c>
      <c r="N547" s="514"/>
    </row>
    <row r="548" spans="1:14" ht="18.75" hidden="1" customHeight="1">
      <c r="A548" s="36">
        <v>450</v>
      </c>
      <c r="B548" s="149"/>
      <c r="C548" s="150">
        <v>9301</v>
      </c>
      <c r="D548" s="187" t="s">
        <v>793</v>
      </c>
      <c r="E548" s="1377">
        <f t="shared" si="126"/>
        <v>0</v>
      </c>
      <c r="F548" s="152"/>
      <c r="G548" s="153"/>
      <c r="H548" s="573">
        <v>0</v>
      </c>
      <c r="I548" s="152"/>
      <c r="J548" s="153"/>
      <c r="K548" s="573">
        <v>0</v>
      </c>
      <c r="L548" s="1377">
        <f t="shared" si="118"/>
        <v>0</v>
      </c>
      <c r="M548" s="7" t="str">
        <f t="shared" si="124"/>
        <v/>
      </c>
      <c r="N548" s="514"/>
    </row>
    <row r="549" spans="1:14" ht="18.75" hidden="1" customHeight="1">
      <c r="A549" s="36">
        <v>450</v>
      </c>
      <c r="B549" s="149"/>
      <c r="C549" s="443">
        <v>9310</v>
      </c>
      <c r="D549" s="616" t="s">
        <v>475</v>
      </c>
      <c r="E549" s="1373">
        <f t="shared" si="126"/>
        <v>0</v>
      </c>
      <c r="F549" s="445"/>
      <c r="G549" s="446"/>
      <c r="H549" s="586">
        <v>0</v>
      </c>
      <c r="I549" s="445"/>
      <c r="J549" s="446"/>
      <c r="K549" s="586">
        <v>0</v>
      </c>
      <c r="L549" s="1373">
        <f t="shared" si="118"/>
        <v>0</v>
      </c>
      <c r="M549" s="7" t="str">
        <f t="shared" si="124"/>
        <v/>
      </c>
      <c r="N549" s="514"/>
    </row>
    <row r="550" spans="1:14" s="35" customFormat="1" ht="18.75" hidden="1" customHeight="1">
      <c r="A550" s="53">
        <v>451</v>
      </c>
      <c r="B550" s="149"/>
      <c r="C550" s="617">
        <v>9317</v>
      </c>
      <c r="D550" s="618" t="s">
        <v>794</v>
      </c>
      <c r="E550" s="1387">
        <f t="shared" si="126"/>
        <v>0</v>
      </c>
      <c r="F550" s="450"/>
      <c r="G550" s="451"/>
      <c r="H550" s="574">
        <v>0</v>
      </c>
      <c r="I550" s="450"/>
      <c r="J550" s="451"/>
      <c r="K550" s="574">
        <v>0</v>
      </c>
      <c r="L550" s="1387">
        <f t="shared" si="118"/>
        <v>0</v>
      </c>
      <c r="M550" s="7" t="str">
        <f t="shared" si="124"/>
        <v/>
      </c>
      <c r="N550" s="514"/>
    </row>
    <row r="551" spans="1:14" s="35" customFormat="1" ht="18.75" hidden="1" customHeight="1">
      <c r="A551" s="53">
        <v>452</v>
      </c>
      <c r="B551" s="149"/>
      <c r="C551" s="619">
        <v>9318</v>
      </c>
      <c r="D551" s="620" t="s">
        <v>795</v>
      </c>
      <c r="E551" s="1373">
        <f t="shared" si="126"/>
        <v>0</v>
      </c>
      <c r="F551" s="445"/>
      <c r="G551" s="446"/>
      <c r="H551" s="586">
        <v>0</v>
      </c>
      <c r="I551" s="445"/>
      <c r="J551" s="446"/>
      <c r="K551" s="586">
        <v>0</v>
      </c>
      <c r="L551" s="1373">
        <f t="shared" si="118"/>
        <v>0</v>
      </c>
      <c r="M551" s="7" t="str">
        <f t="shared" si="124"/>
        <v/>
      </c>
      <c r="N551" s="514"/>
    </row>
    <row r="552" spans="1:14" ht="31.5" hidden="1">
      <c r="A552" s="44">
        <v>456</v>
      </c>
      <c r="B552" s="149"/>
      <c r="C552" s="448">
        <v>9321</v>
      </c>
      <c r="D552" s="621" t="s">
        <v>476</v>
      </c>
      <c r="E552" s="1387">
        <f t="shared" si="126"/>
        <v>0</v>
      </c>
      <c r="F552" s="1652">
        <v>0</v>
      </c>
      <c r="G552" s="1652">
        <v>0</v>
      </c>
      <c r="H552" s="574">
        <v>0</v>
      </c>
      <c r="I552" s="1652">
        <v>0</v>
      </c>
      <c r="J552" s="1652">
        <v>0</v>
      </c>
      <c r="K552" s="574">
        <v>0</v>
      </c>
      <c r="L552" s="1387">
        <f t="shared" si="118"/>
        <v>0</v>
      </c>
      <c r="M552" s="7" t="str">
        <f t="shared" si="124"/>
        <v/>
      </c>
      <c r="N552" s="514"/>
    </row>
    <row r="553" spans="1:14" ht="31.5" hidden="1">
      <c r="A553" s="44">
        <v>457</v>
      </c>
      <c r="B553" s="149"/>
      <c r="C553" s="156">
        <v>9322</v>
      </c>
      <c r="D553" s="622" t="s">
        <v>800</v>
      </c>
      <c r="E553" s="1375">
        <f t="shared" si="126"/>
        <v>0</v>
      </c>
      <c r="F553" s="1652">
        <v>0</v>
      </c>
      <c r="G553" s="1652">
        <v>0</v>
      </c>
      <c r="H553" s="574">
        <v>0</v>
      </c>
      <c r="I553" s="1652">
        <v>0</v>
      </c>
      <c r="J553" s="1652">
        <v>0</v>
      </c>
      <c r="K553" s="574">
        <v>0</v>
      </c>
      <c r="L553" s="1375">
        <f t="shared" si="118"/>
        <v>0</v>
      </c>
      <c r="M553" s="7" t="str">
        <f t="shared" si="124"/>
        <v/>
      </c>
      <c r="N553" s="514"/>
    </row>
    <row r="554" spans="1:14" ht="31.5" hidden="1">
      <c r="A554" s="44">
        <v>458</v>
      </c>
      <c r="B554" s="149"/>
      <c r="C554" s="156">
        <v>9323</v>
      </c>
      <c r="D554" s="622" t="s">
        <v>801</v>
      </c>
      <c r="E554" s="1375">
        <f t="shared" si="126"/>
        <v>0</v>
      </c>
      <c r="F554" s="1652">
        <v>0</v>
      </c>
      <c r="G554" s="1652">
        <v>0</v>
      </c>
      <c r="H554" s="574">
        <v>0</v>
      </c>
      <c r="I554" s="1652">
        <v>0</v>
      </c>
      <c r="J554" s="1652">
        <v>0</v>
      </c>
      <c r="K554" s="574">
        <v>0</v>
      </c>
      <c r="L554" s="1375">
        <f t="shared" si="118"/>
        <v>0</v>
      </c>
      <c r="M554" s="7" t="str">
        <f t="shared" si="124"/>
        <v/>
      </c>
      <c r="N554" s="514"/>
    </row>
    <row r="555" spans="1:14" ht="31.5" hidden="1">
      <c r="A555" s="44">
        <v>459</v>
      </c>
      <c r="B555" s="149"/>
      <c r="C555" s="156">
        <v>9324</v>
      </c>
      <c r="D555" s="622" t="s">
        <v>802</v>
      </c>
      <c r="E555" s="1375">
        <f t="shared" si="126"/>
        <v>0</v>
      </c>
      <c r="F555" s="1652">
        <v>0</v>
      </c>
      <c r="G555" s="1652">
        <v>0</v>
      </c>
      <c r="H555" s="574">
        <v>0</v>
      </c>
      <c r="I555" s="1652">
        <v>0</v>
      </c>
      <c r="J555" s="1652">
        <v>0</v>
      </c>
      <c r="K555" s="574">
        <v>0</v>
      </c>
      <c r="L555" s="1375">
        <f t="shared" si="118"/>
        <v>0</v>
      </c>
      <c r="M555" s="7" t="str">
        <f t="shared" si="124"/>
        <v/>
      </c>
      <c r="N555" s="514"/>
    </row>
    <row r="556" spans="1:14" ht="18.75" hidden="1" customHeight="1">
      <c r="A556" s="44">
        <v>460</v>
      </c>
      <c r="B556" s="149"/>
      <c r="C556" s="156">
        <v>9325</v>
      </c>
      <c r="D556" s="622" t="s">
        <v>803</v>
      </c>
      <c r="E556" s="1375">
        <f t="shared" si="126"/>
        <v>0</v>
      </c>
      <c r="F556" s="1652">
        <v>0</v>
      </c>
      <c r="G556" s="1652">
        <v>0</v>
      </c>
      <c r="H556" s="574">
        <v>0</v>
      </c>
      <c r="I556" s="1652">
        <v>0</v>
      </c>
      <c r="J556" s="1652">
        <v>0</v>
      </c>
      <c r="K556" s="574">
        <v>0</v>
      </c>
      <c r="L556" s="1375">
        <f t="shared" si="118"/>
        <v>0</v>
      </c>
      <c r="M556" s="7" t="str">
        <f t="shared" si="124"/>
        <v/>
      </c>
      <c r="N556" s="514"/>
    </row>
    <row r="557" spans="1:14" ht="18.75" hidden="1" customHeight="1">
      <c r="A557" s="44">
        <v>461</v>
      </c>
      <c r="B557" s="149"/>
      <c r="C557" s="156">
        <v>9326</v>
      </c>
      <c r="D557" s="622" t="s">
        <v>804</v>
      </c>
      <c r="E557" s="1375">
        <f t="shared" si="126"/>
        <v>0</v>
      </c>
      <c r="F557" s="1652">
        <v>0</v>
      </c>
      <c r="G557" s="1652">
        <v>0</v>
      </c>
      <c r="H557" s="574">
        <v>0</v>
      </c>
      <c r="I557" s="1652">
        <v>0</v>
      </c>
      <c r="J557" s="1652">
        <v>0</v>
      </c>
      <c r="K557" s="574">
        <v>0</v>
      </c>
      <c r="L557" s="1375">
        <f t="shared" si="118"/>
        <v>0</v>
      </c>
      <c r="M557" s="7" t="str">
        <f t="shared" si="124"/>
        <v/>
      </c>
      <c r="N557" s="514"/>
    </row>
    <row r="558" spans="1:14" ht="30.75" hidden="1" customHeight="1">
      <c r="A558" s="36"/>
      <c r="B558" s="149"/>
      <c r="C558" s="156">
        <v>9327</v>
      </c>
      <c r="D558" s="622" t="s">
        <v>805</v>
      </c>
      <c r="E558" s="1375">
        <f t="shared" si="126"/>
        <v>0</v>
      </c>
      <c r="F558" s="1652">
        <v>0</v>
      </c>
      <c r="G558" s="1652">
        <v>0</v>
      </c>
      <c r="H558" s="574">
        <v>0</v>
      </c>
      <c r="I558" s="1652">
        <v>0</v>
      </c>
      <c r="J558" s="1652">
        <v>0</v>
      </c>
      <c r="K558" s="574">
        <v>0</v>
      </c>
      <c r="L558" s="1375">
        <f t="shared" si="118"/>
        <v>0</v>
      </c>
      <c r="M558" s="7" t="str">
        <f t="shared" si="124"/>
        <v/>
      </c>
      <c r="N558" s="514"/>
    </row>
    <row r="559" spans="1:14" ht="18.75" hidden="1" customHeight="1">
      <c r="A559" s="36"/>
      <c r="B559" s="149"/>
      <c r="C559" s="443">
        <v>9328</v>
      </c>
      <c r="D559" s="623" t="s">
        <v>806</v>
      </c>
      <c r="E559" s="1373">
        <f t="shared" si="126"/>
        <v>0</v>
      </c>
      <c r="F559" s="1668">
        <v>0</v>
      </c>
      <c r="G559" s="1669">
        <v>0</v>
      </c>
      <c r="H559" s="1670">
        <v>0</v>
      </c>
      <c r="I559" s="1669">
        <v>0</v>
      </c>
      <c r="J559" s="1669">
        <v>0</v>
      </c>
      <c r="K559" s="1670">
        <v>0</v>
      </c>
      <c r="L559" s="1373">
        <f t="shared" si="118"/>
        <v>0</v>
      </c>
      <c r="M559" s="7" t="str">
        <f t="shared" si="124"/>
        <v/>
      </c>
      <c r="N559" s="514"/>
    </row>
    <row r="560" spans="1:14" ht="31.5" hidden="1">
      <c r="A560" s="44">
        <v>462</v>
      </c>
      <c r="B560" s="149"/>
      <c r="C560" s="464">
        <v>9330</v>
      </c>
      <c r="D560" s="609" t="s">
        <v>807</v>
      </c>
      <c r="E560" s="1388">
        <f t="shared" si="126"/>
        <v>0</v>
      </c>
      <c r="F560" s="624"/>
      <c r="G560" s="625"/>
      <c r="H560" s="1667">
        <v>0</v>
      </c>
      <c r="I560" s="624"/>
      <c r="J560" s="625"/>
      <c r="K560" s="1667">
        <v>0</v>
      </c>
      <c r="L560" s="1388">
        <f t="shared" si="118"/>
        <v>0</v>
      </c>
      <c r="M560" s="7" t="str">
        <f t="shared" si="124"/>
        <v/>
      </c>
      <c r="N560" s="514"/>
    </row>
    <row r="561" spans="1:14" ht="31.5" hidden="1">
      <c r="A561" s="36"/>
      <c r="B561" s="149"/>
      <c r="C561" s="448">
        <v>9336</v>
      </c>
      <c r="D561" s="621" t="s">
        <v>927</v>
      </c>
      <c r="E561" s="1387">
        <f t="shared" si="126"/>
        <v>0</v>
      </c>
      <c r="F561" s="450"/>
      <c r="G561" s="451"/>
      <c r="H561" s="574">
        <v>0</v>
      </c>
      <c r="I561" s="450"/>
      <c r="J561" s="451"/>
      <c r="K561" s="574">
        <v>0</v>
      </c>
      <c r="L561" s="1387">
        <f t="shared" si="118"/>
        <v>0</v>
      </c>
      <c r="M561" s="7" t="str">
        <f t="shared" si="124"/>
        <v/>
      </c>
      <c r="N561" s="514"/>
    </row>
    <row r="562" spans="1:14" ht="31.5" hidden="1">
      <c r="A562" s="44">
        <v>462</v>
      </c>
      <c r="B562" s="149"/>
      <c r="C562" s="156">
        <v>9337</v>
      </c>
      <c r="D562" s="157" t="s">
        <v>928</v>
      </c>
      <c r="E562" s="1375">
        <f t="shared" si="126"/>
        <v>0</v>
      </c>
      <c r="F562" s="158"/>
      <c r="G562" s="159"/>
      <c r="H562" s="574">
        <v>0</v>
      </c>
      <c r="I562" s="158"/>
      <c r="J562" s="159"/>
      <c r="K562" s="574">
        <v>0</v>
      </c>
      <c r="L562" s="1375">
        <f t="shared" si="118"/>
        <v>0</v>
      </c>
      <c r="M562" s="7" t="str">
        <f t="shared" si="124"/>
        <v/>
      </c>
      <c r="N562" s="514"/>
    </row>
    <row r="563" spans="1:14" ht="18.75" hidden="1" customHeight="1">
      <c r="A563" s="36"/>
      <c r="B563" s="149"/>
      <c r="C563" s="156">
        <v>9338</v>
      </c>
      <c r="D563" s="622" t="s">
        <v>929</v>
      </c>
      <c r="E563" s="1375">
        <f t="shared" si="126"/>
        <v>0</v>
      </c>
      <c r="F563" s="158"/>
      <c r="G563" s="159"/>
      <c r="H563" s="574">
        <v>0</v>
      </c>
      <c r="I563" s="158"/>
      <c r="J563" s="159"/>
      <c r="K563" s="574">
        <v>0</v>
      </c>
      <c r="L563" s="1375">
        <f t="shared" si="118"/>
        <v>0</v>
      </c>
      <c r="M563" s="7" t="str">
        <f t="shared" si="124"/>
        <v/>
      </c>
      <c r="N563" s="514"/>
    </row>
    <row r="564" spans="1:14" ht="18.75" hidden="1" customHeight="1">
      <c r="A564" s="44">
        <v>462</v>
      </c>
      <c r="B564" s="149"/>
      <c r="C564" s="443">
        <v>9339</v>
      </c>
      <c r="D564" s="444" t="s">
        <v>930</v>
      </c>
      <c r="E564" s="1373">
        <f t="shared" si="126"/>
        <v>0</v>
      </c>
      <c r="F564" s="445"/>
      <c r="G564" s="446"/>
      <c r="H564" s="586">
        <v>0</v>
      </c>
      <c r="I564" s="445"/>
      <c r="J564" s="446"/>
      <c r="K564" s="586">
        <v>0</v>
      </c>
      <c r="L564" s="1373">
        <f t="shared" si="118"/>
        <v>0</v>
      </c>
      <c r="M564" s="7" t="str">
        <f t="shared" si="124"/>
        <v/>
      </c>
      <c r="N564" s="514"/>
    </row>
    <row r="565" spans="1:14" ht="18.75" hidden="1" customHeight="1">
      <c r="A565" s="36"/>
      <c r="B565" s="149"/>
      <c r="C565" s="448">
        <v>9355</v>
      </c>
      <c r="D565" s="626" t="s">
        <v>931</v>
      </c>
      <c r="E565" s="1387">
        <f t="shared" si="126"/>
        <v>0</v>
      </c>
      <c r="F565" s="1652">
        <v>0</v>
      </c>
      <c r="G565" s="1652">
        <v>0</v>
      </c>
      <c r="H565" s="574">
        <v>0</v>
      </c>
      <c r="I565" s="1652">
        <v>0</v>
      </c>
      <c r="J565" s="1652">
        <v>0</v>
      </c>
      <c r="K565" s="574">
        <v>0</v>
      </c>
      <c r="L565" s="1387">
        <f t="shared" si="118"/>
        <v>0</v>
      </c>
      <c r="M565" s="7" t="str">
        <f t="shared" si="124"/>
        <v/>
      </c>
      <c r="N565" s="514"/>
    </row>
    <row r="566" spans="1:14" ht="18.75" hidden="1" customHeight="1">
      <c r="A566" s="44">
        <v>462</v>
      </c>
      <c r="B566" s="149"/>
      <c r="C566" s="443">
        <v>9356</v>
      </c>
      <c r="D566" s="627" t="s">
        <v>932</v>
      </c>
      <c r="E566" s="1373">
        <f t="shared" si="126"/>
        <v>0</v>
      </c>
      <c r="F566" s="1652">
        <v>0</v>
      </c>
      <c r="G566" s="1652">
        <v>0</v>
      </c>
      <c r="H566" s="586">
        <v>0</v>
      </c>
      <c r="I566" s="1652">
        <v>0</v>
      </c>
      <c r="J566" s="1652">
        <v>0</v>
      </c>
      <c r="K566" s="586">
        <v>0</v>
      </c>
      <c r="L566" s="1373">
        <f t="shared" si="118"/>
        <v>0</v>
      </c>
      <c r="M566" s="7" t="str">
        <f t="shared" si="124"/>
        <v/>
      </c>
      <c r="N566" s="514"/>
    </row>
    <row r="567" spans="1:14" ht="18.75" hidden="1" customHeight="1">
      <c r="A567" s="44">
        <v>462</v>
      </c>
      <c r="B567" s="149"/>
      <c r="C567" s="448">
        <v>9395</v>
      </c>
      <c r="D567" s="462" t="s">
        <v>933</v>
      </c>
      <c r="E567" s="1387">
        <f t="shared" si="126"/>
        <v>0</v>
      </c>
      <c r="F567" s="450"/>
      <c r="G567" s="451"/>
      <c r="H567" s="574">
        <v>0</v>
      </c>
      <c r="I567" s="450"/>
      <c r="J567" s="451"/>
      <c r="K567" s="574">
        <v>0</v>
      </c>
      <c r="L567" s="1387">
        <f t="shared" si="118"/>
        <v>0</v>
      </c>
      <c r="M567" s="7" t="str">
        <f t="shared" si="124"/>
        <v/>
      </c>
      <c r="N567" s="514"/>
    </row>
    <row r="568" spans="1:14" ht="18.75" hidden="1" customHeight="1">
      <c r="A568" s="36">
        <v>465</v>
      </c>
      <c r="B568" s="149"/>
      <c r="C568" s="179">
        <v>9396</v>
      </c>
      <c r="D568" s="628" t="s">
        <v>934</v>
      </c>
      <c r="E568" s="1376">
        <f t="shared" si="126"/>
        <v>0</v>
      </c>
      <c r="F568" s="173"/>
      <c r="G568" s="174"/>
      <c r="H568" s="575">
        <v>0</v>
      </c>
      <c r="I568" s="173"/>
      <c r="J568" s="174"/>
      <c r="K568" s="575">
        <v>0</v>
      </c>
      <c r="L568" s="1376">
        <f t="shared" si="118"/>
        <v>0</v>
      </c>
      <c r="M568" s="7" t="str">
        <f t="shared" si="124"/>
        <v/>
      </c>
      <c r="N568" s="514"/>
    </row>
    <row r="569" spans="1:14" s="15" customFormat="1" ht="18" customHeight="1">
      <c r="A569" s="39">
        <v>470</v>
      </c>
      <c r="B569" s="566">
        <v>9500</v>
      </c>
      <c r="C569" s="1957" t="s">
        <v>935</v>
      </c>
      <c r="D569" s="1957"/>
      <c r="E569" s="567">
        <f t="shared" ref="E569:L569" si="130">SUM(E570:E588)</f>
        <v>0</v>
      </c>
      <c r="F569" s="576">
        <f t="shared" si="130"/>
        <v>0</v>
      </c>
      <c r="G569" s="569">
        <f t="shared" si="130"/>
        <v>0</v>
      </c>
      <c r="H569" s="570">
        <f>SUM(H570:H588)</f>
        <v>0</v>
      </c>
      <c r="I569" s="576">
        <f t="shared" si="130"/>
        <v>0</v>
      </c>
      <c r="J569" s="569">
        <f t="shared" si="130"/>
        <v>0</v>
      </c>
      <c r="K569" s="570">
        <f t="shared" si="130"/>
        <v>0</v>
      </c>
      <c r="L569" s="567">
        <f t="shared" si="130"/>
        <v>0</v>
      </c>
      <c r="M569" s="7" t="str">
        <f t="shared" si="124"/>
        <v/>
      </c>
      <c r="N569" s="514"/>
    </row>
    <row r="570" spans="1:14" ht="18.75" hidden="1" customHeight="1">
      <c r="A570" s="36">
        <v>475</v>
      </c>
      <c r="B570" s="149"/>
      <c r="C570" s="150">
        <v>9501</v>
      </c>
      <c r="D570" s="187" t="s">
        <v>808</v>
      </c>
      <c r="E570" s="1367">
        <f t="shared" si="126"/>
        <v>0</v>
      </c>
      <c r="F570" s="152"/>
      <c r="G570" s="153"/>
      <c r="H570" s="573">
        <v>0</v>
      </c>
      <c r="I570" s="152"/>
      <c r="J570" s="153"/>
      <c r="K570" s="573">
        <v>0</v>
      </c>
      <c r="L570" s="1367">
        <f t="shared" si="118"/>
        <v>0</v>
      </c>
      <c r="M570" s="7" t="str">
        <f t="shared" si="124"/>
        <v/>
      </c>
      <c r="N570" s="514"/>
    </row>
    <row r="571" spans="1:14" ht="18.75" hidden="1" customHeight="1">
      <c r="A571" s="36">
        <v>480</v>
      </c>
      <c r="B571" s="149"/>
      <c r="C571" s="156">
        <v>9502</v>
      </c>
      <c r="D571" s="593" t="s">
        <v>809</v>
      </c>
      <c r="E571" s="1368">
        <f t="shared" si="126"/>
        <v>0</v>
      </c>
      <c r="F571" s="158"/>
      <c r="G571" s="159"/>
      <c r="H571" s="574">
        <v>0</v>
      </c>
      <c r="I571" s="158"/>
      <c r="J571" s="159"/>
      <c r="K571" s="574">
        <v>0</v>
      </c>
      <c r="L571" s="1368">
        <f t="shared" ref="L571:L588" si="131">I571+J571+K571</f>
        <v>0</v>
      </c>
      <c r="M571" s="7" t="str">
        <f t="shared" si="124"/>
        <v/>
      </c>
      <c r="N571" s="514"/>
    </row>
    <row r="572" spans="1:14" ht="18.75" hidden="1" customHeight="1">
      <c r="A572" s="36">
        <v>485</v>
      </c>
      <c r="B572" s="149"/>
      <c r="C572" s="156">
        <v>9503</v>
      </c>
      <c r="D572" s="593" t="s">
        <v>849</v>
      </c>
      <c r="E572" s="1368">
        <f t="shared" si="126"/>
        <v>0</v>
      </c>
      <c r="F572" s="158"/>
      <c r="G572" s="159"/>
      <c r="H572" s="574">
        <v>0</v>
      </c>
      <c r="I572" s="158"/>
      <c r="J572" s="159"/>
      <c r="K572" s="574">
        <v>0</v>
      </c>
      <c r="L572" s="1368">
        <f t="shared" si="131"/>
        <v>0</v>
      </c>
      <c r="M572" s="7" t="str">
        <f t="shared" si="124"/>
        <v/>
      </c>
      <c r="N572" s="514"/>
    </row>
    <row r="573" spans="1:14" ht="18.75" hidden="1" customHeight="1">
      <c r="A573" s="36">
        <v>490</v>
      </c>
      <c r="B573" s="149"/>
      <c r="C573" s="156">
        <v>9504</v>
      </c>
      <c r="D573" s="593" t="s">
        <v>850</v>
      </c>
      <c r="E573" s="1368">
        <f t="shared" si="126"/>
        <v>0</v>
      </c>
      <c r="F573" s="158"/>
      <c r="G573" s="159"/>
      <c r="H573" s="574">
        <v>0</v>
      </c>
      <c r="I573" s="158"/>
      <c r="J573" s="159"/>
      <c r="K573" s="574">
        <v>0</v>
      </c>
      <c r="L573" s="1368">
        <f t="shared" si="131"/>
        <v>0</v>
      </c>
      <c r="M573" s="7" t="str">
        <f t="shared" si="124"/>
        <v/>
      </c>
      <c r="N573" s="514"/>
    </row>
    <row r="574" spans="1:14" ht="18.75" hidden="1" customHeight="1">
      <c r="A574" s="36">
        <v>495</v>
      </c>
      <c r="B574" s="149"/>
      <c r="C574" s="156">
        <v>9505</v>
      </c>
      <c r="D574" s="593" t="s">
        <v>810</v>
      </c>
      <c r="E574" s="1368">
        <f t="shared" si="126"/>
        <v>0</v>
      </c>
      <c r="F574" s="158"/>
      <c r="G574" s="159"/>
      <c r="H574" s="574">
        <v>0</v>
      </c>
      <c r="I574" s="158"/>
      <c r="J574" s="159"/>
      <c r="K574" s="574">
        <v>0</v>
      </c>
      <c r="L574" s="1368">
        <f t="shared" si="131"/>
        <v>0</v>
      </c>
      <c r="M574" s="7" t="str">
        <f t="shared" si="124"/>
        <v/>
      </c>
      <c r="N574" s="514"/>
    </row>
    <row r="575" spans="1:14" ht="18.75" hidden="1" customHeight="1">
      <c r="A575" s="36">
        <v>500</v>
      </c>
      <c r="B575" s="149"/>
      <c r="C575" s="156">
        <v>9506</v>
      </c>
      <c r="D575" s="593" t="s">
        <v>811</v>
      </c>
      <c r="E575" s="1371">
        <f t="shared" si="126"/>
        <v>0</v>
      </c>
      <c r="F575" s="158"/>
      <c r="G575" s="159"/>
      <c r="H575" s="575">
        <v>0</v>
      </c>
      <c r="I575" s="158"/>
      <c r="J575" s="159"/>
      <c r="K575" s="575">
        <v>0</v>
      </c>
      <c r="L575" s="1371">
        <f t="shared" si="131"/>
        <v>0</v>
      </c>
      <c r="M575" s="7" t="str">
        <f t="shared" si="124"/>
        <v/>
      </c>
      <c r="N575" s="514"/>
    </row>
    <row r="576" spans="1:14" ht="18.75" customHeight="1">
      <c r="A576" s="36">
        <v>505</v>
      </c>
      <c r="B576" s="149"/>
      <c r="C576" s="156">
        <v>9507</v>
      </c>
      <c r="D576" s="593" t="s">
        <v>812</v>
      </c>
      <c r="E576" s="1381">
        <f t="shared" si="126"/>
        <v>0</v>
      </c>
      <c r="F576" s="152"/>
      <c r="G576" s="153"/>
      <c r="H576" s="1671">
        <v>0</v>
      </c>
      <c r="I576" s="152">
        <v>0</v>
      </c>
      <c r="J576" s="153"/>
      <c r="K576" s="1671">
        <v>0</v>
      </c>
      <c r="L576" s="1381">
        <f t="shared" si="131"/>
        <v>0</v>
      </c>
      <c r="M576" s="7" t="str">
        <f t="shared" si="124"/>
        <v/>
      </c>
      <c r="N576" s="514"/>
    </row>
    <row r="577" spans="1:14" ht="18.75" hidden="1" customHeight="1">
      <c r="A577" s="36">
        <v>510</v>
      </c>
      <c r="B577" s="149"/>
      <c r="C577" s="156">
        <v>9508</v>
      </c>
      <c r="D577" s="593" t="s">
        <v>813</v>
      </c>
      <c r="E577" s="1368">
        <f t="shared" si="126"/>
        <v>0</v>
      </c>
      <c r="F577" s="158"/>
      <c r="G577" s="159"/>
      <c r="H577" s="574">
        <v>0</v>
      </c>
      <c r="I577" s="158"/>
      <c r="J577" s="159"/>
      <c r="K577" s="574">
        <v>0</v>
      </c>
      <c r="L577" s="1368">
        <f t="shared" si="131"/>
        <v>0</v>
      </c>
      <c r="M577" s="7" t="str">
        <f t="shared" si="124"/>
        <v/>
      </c>
      <c r="N577" s="514"/>
    </row>
    <row r="578" spans="1:14" ht="18.75" hidden="1" customHeight="1">
      <c r="A578" s="36">
        <v>515</v>
      </c>
      <c r="B578" s="149"/>
      <c r="C578" s="156">
        <v>9509</v>
      </c>
      <c r="D578" s="593" t="s">
        <v>851</v>
      </c>
      <c r="E578" s="1368">
        <f t="shared" si="126"/>
        <v>0</v>
      </c>
      <c r="F578" s="158"/>
      <c r="G578" s="159"/>
      <c r="H578" s="574">
        <v>0</v>
      </c>
      <c r="I578" s="158"/>
      <c r="J578" s="159"/>
      <c r="K578" s="574">
        <v>0</v>
      </c>
      <c r="L578" s="1368">
        <f t="shared" si="131"/>
        <v>0</v>
      </c>
      <c r="M578" s="7" t="str">
        <f t="shared" si="124"/>
        <v/>
      </c>
      <c r="N578" s="514"/>
    </row>
    <row r="579" spans="1:14" ht="18.75" hidden="1" customHeight="1">
      <c r="A579" s="36">
        <v>520</v>
      </c>
      <c r="B579" s="149"/>
      <c r="C579" s="156">
        <v>9510</v>
      </c>
      <c r="D579" s="593" t="s">
        <v>852</v>
      </c>
      <c r="E579" s="1368">
        <f t="shared" si="126"/>
        <v>0</v>
      </c>
      <c r="F579" s="158"/>
      <c r="G579" s="159"/>
      <c r="H579" s="574">
        <v>0</v>
      </c>
      <c r="I579" s="158"/>
      <c r="J579" s="159"/>
      <c r="K579" s="574">
        <v>0</v>
      </c>
      <c r="L579" s="1368">
        <f t="shared" si="131"/>
        <v>0</v>
      </c>
      <c r="M579" s="7" t="str">
        <f t="shared" si="124"/>
        <v/>
      </c>
      <c r="N579" s="514"/>
    </row>
    <row r="580" spans="1:14" ht="18.75" hidden="1" customHeight="1">
      <c r="A580" s="36">
        <v>525</v>
      </c>
      <c r="B580" s="149"/>
      <c r="C580" s="156">
        <v>9511</v>
      </c>
      <c r="D580" s="593" t="s">
        <v>814</v>
      </c>
      <c r="E580" s="1368">
        <f t="shared" si="126"/>
        <v>0</v>
      </c>
      <c r="F580" s="158"/>
      <c r="G580" s="159"/>
      <c r="H580" s="574">
        <v>0</v>
      </c>
      <c r="I580" s="158"/>
      <c r="J580" s="159"/>
      <c r="K580" s="574">
        <v>0</v>
      </c>
      <c r="L580" s="1368">
        <f t="shared" si="131"/>
        <v>0</v>
      </c>
      <c r="M580" s="7" t="str">
        <f t="shared" si="124"/>
        <v/>
      </c>
      <c r="N580" s="514"/>
    </row>
    <row r="581" spans="1:14" ht="18.75" hidden="1" customHeight="1">
      <c r="A581" s="36">
        <v>530</v>
      </c>
      <c r="B581" s="149"/>
      <c r="C581" s="156">
        <v>9512</v>
      </c>
      <c r="D581" s="593" t="s">
        <v>815</v>
      </c>
      <c r="E581" s="1368">
        <f t="shared" si="126"/>
        <v>0</v>
      </c>
      <c r="F581" s="158"/>
      <c r="G581" s="159"/>
      <c r="H581" s="574">
        <v>0</v>
      </c>
      <c r="I581" s="158"/>
      <c r="J581" s="159"/>
      <c r="K581" s="574">
        <v>0</v>
      </c>
      <c r="L581" s="1368">
        <f t="shared" si="131"/>
        <v>0</v>
      </c>
      <c r="M581" s="7" t="str">
        <f t="shared" si="124"/>
        <v/>
      </c>
      <c r="N581" s="514"/>
    </row>
    <row r="582" spans="1:14" ht="18.75" hidden="1" customHeight="1">
      <c r="A582" s="36">
        <v>535</v>
      </c>
      <c r="B582" s="149"/>
      <c r="C582" s="162">
        <v>9513</v>
      </c>
      <c r="D582" s="182" t="s">
        <v>816</v>
      </c>
      <c r="E582" s="1383">
        <f>F582+G582+H582</f>
        <v>0</v>
      </c>
      <c r="F582" s="165"/>
      <c r="G582" s="165"/>
      <c r="H582" s="574">
        <v>0</v>
      </c>
      <c r="I582" s="165"/>
      <c r="J582" s="165"/>
      <c r="K582" s="574">
        <v>0</v>
      </c>
      <c r="L582" s="1383">
        <f t="shared" si="131"/>
        <v>0</v>
      </c>
      <c r="M582" s="7" t="str">
        <f t="shared" si="124"/>
        <v/>
      </c>
      <c r="N582" s="514"/>
    </row>
    <row r="583" spans="1:14" ht="31.5" hidden="1">
      <c r="A583" s="36">
        <v>540</v>
      </c>
      <c r="B583" s="149"/>
      <c r="C583" s="587">
        <v>9514</v>
      </c>
      <c r="D583" s="602" t="s">
        <v>817</v>
      </c>
      <c r="E583" s="1384">
        <f t="shared" si="126"/>
        <v>0</v>
      </c>
      <c r="F583" s="590"/>
      <c r="G583" s="590"/>
      <c r="H583" s="591">
        <v>0</v>
      </c>
      <c r="I583" s="590"/>
      <c r="J583" s="590"/>
      <c r="K583" s="591">
        <v>0</v>
      </c>
      <c r="L583" s="1384">
        <f t="shared" si="131"/>
        <v>0</v>
      </c>
      <c r="M583" s="7" t="str">
        <f t="shared" si="124"/>
        <v/>
      </c>
      <c r="N583" s="514"/>
    </row>
    <row r="584" spans="1:14" ht="27.75" hidden="1" customHeight="1">
      <c r="A584" s="36">
        <v>545</v>
      </c>
      <c r="B584" s="629"/>
      <c r="C584" s="630">
        <v>9521</v>
      </c>
      <c r="D584" s="462" t="s">
        <v>936</v>
      </c>
      <c r="E584" s="1370">
        <f>F584+G584+H584</f>
        <v>0</v>
      </c>
      <c r="F584" s="451"/>
      <c r="G584" s="451"/>
      <c r="H584" s="574">
        <v>0</v>
      </c>
      <c r="I584" s="451"/>
      <c r="J584" s="451"/>
      <c r="K584" s="574">
        <v>0</v>
      </c>
      <c r="L584" s="1370">
        <f t="shared" si="131"/>
        <v>0</v>
      </c>
      <c r="M584" s="7" t="str">
        <f t="shared" si="124"/>
        <v/>
      </c>
      <c r="N584" s="514"/>
    </row>
    <row r="585" spans="1:14" ht="18.75" hidden="1" customHeight="1">
      <c r="A585" s="36">
        <v>550</v>
      </c>
      <c r="B585" s="149"/>
      <c r="C585" s="156">
        <v>9522</v>
      </c>
      <c r="D585" s="631" t="s">
        <v>937</v>
      </c>
      <c r="E585" s="1368">
        <f t="shared" si="126"/>
        <v>0</v>
      </c>
      <c r="F585" s="158"/>
      <c r="G585" s="159"/>
      <c r="H585" s="574">
        <v>0</v>
      </c>
      <c r="I585" s="158"/>
      <c r="J585" s="159"/>
      <c r="K585" s="574">
        <v>0</v>
      </c>
      <c r="L585" s="1368">
        <f t="shared" si="131"/>
        <v>0</v>
      </c>
      <c r="M585" s="7" t="str">
        <f t="shared" si="124"/>
        <v/>
      </c>
      <c r="N585" s="514"/>
    </row>
    <row r="586" spans="1:14" ht="18.75" hidden="1" customHeight="1">
      <c r="A586" s="36">
        <v>555</v>
      </c>
      <c r="B586" s="149"/>
      <c r="C586" s="156">
        <v>9528</v>
      </c>
      <c r="D586" s="631" t="s">
        <v>938</v>
      </c>
      <c r="E586" s="1368">
        <f t="shared" si="126"/>
        <v>0</v>
      </c>
      <c r="F586" s="158"/>
      <c r="G586" s="159"/>
      <c r="H586" s="574">
        <v>0</v>
      </c>
      <c r="I586" s="158"/>
      <c r="J586" s="159"/>
      <c r="K586" s="574">
        <v>0</v>
      </c>
      <c r="L586" s="1368">
        <f t="shared" si="131"/>
        <v>0</v>
      </c>
      <c r="M586" s="7" t="str">
        <f t="shared" si="124"/>
        <v/>
      </c>
      <c r="N586" s="514"/>
    </row>
    <row r="587" spans="1:14" ht="18.75" hidden="1" customHeight="1">
      <c r="A587" s="36">
        <v>560</v>
      </c>
      <c r="B587" s="149"/>
      <c r="C587" s="443">
        <v>9529</v>
      </c>
      <c r="D587" s="627" t="s">
        <v>939</v>
      </c>
      <c r="E587" s="1369">
        <f t="shared" si="126"/>
        <v>0</v>
      </c>
      <c r="F587" s="446"/>
      <c r="G587" s="446"/>
      <c r="H587" s="586">
        <v>0</v>
      </c>
      <c r="I587" s="446"/>
      <c r="J587" s="446"/>
      <c r="K587" s="586">
        <v>0</v>
      </c>
      <c r="L587" s="1369">
        <f t="shared" si="131"/>
        <v>0</v>
      </c>
      <c r="M587" s="7" t="str">
        <f t="shared" si="124"/>
        <v/>
      </c>
      <c r="N587" s="514"/>
    </row>
    <row r="588" spans="1:14" ht="31.5" hidden="1">
      <c r="A588" s="36">
        <v>561</v>
      </c>
      <c r="B588" s="149"/>
      <c r="C588" s="464">
        <v>9549</v>
      </c>
      <c r="D588" s="632" t="s">
        <v>818</v>
      </c>
      <c r="E588" s="1389">
        <f t="shared" si="126"/>
        <v>0</v>
      </c>
      <c r="F588" s="158"/>
      <c r="G588" s="625"/>
      <c r="H588" s="574">
        <v>0</v>
      </c>
      <c r="I588" s="158"/>
      <c r="J588" s="625"/>
      <c r="K588" s="574">
        <v>0</v>
      </c>
      <c r="L588" s="1389">
        <f t="shared" si="131"/>
        <v>0</v>
      </c>
      <c r="M588" s="7" t="str">
        <f t="shared" si="124"/>
        <v/>
      </c>
      <c r="N588" s="514"/>
    </row>
    <row r="589" spans="1:14" s="15" customFormat="1" ht="18.75" hidden="1" customHeight="1">
      <c r="A589" s="39">
        <v>565</v>
      </c>
      <c r="B589" s="566">
        <v>9600</v>
      </c>
      <c r="C589" s="1957" t="s">
        <v>940</v>
      </c>
      <c r="D589" s="1936"/>
      <c r="E589" s="567">
        <f t="shared" ref="E589:L589" si="132">SUM(E590:E593)</f>
        <v>0</v>
      </c>
      <c r="F589" s="576">
        <f t="shared" si="132"/>
        <v>0</v>
      </c>
      <c r="G589" s="569">
        <f t="shared" si="132"/>
        <v>0</v>
      </c>
      <c r="H589" s="570">
        <f>SUM(H590:H593)</f>
        <v>0</v>
      </c>
      <c r="I589" s="576">
        <f t="shared" si="132"/>
        <v>0</v>
      </c>
      <c r="J589" s="569">
        <f t="shared" si="132"/>
        <v>0</v>
      </c>
      <c r="K589" s="570">
        <f t="shared" si="132"/>
        <v>0</v>
      </c>
      <c r="L589" s="567">
        <f t="shared" si="132"/>
        <v>0</v>
      </c>
      <c r="M589" s="7" t="str">
        <f t="shared" si="124"/>
        <v/>
      </c>
      <c r="N589" s="514"/>
    </row>
    <row r="590" spans="1:14" s="17" customFormat="1" ht="31.5" hidden="1" customHeight="1">
      <c r="A590" s="43">
        <v>566</v>
      </c>
      <c r="B590" s="181"/>
      <c r="C590" s="475">
        <v>9601</v>
      </c>
      <c r="D590" s="633" t="s">
        <v>941</v>
      </c>
      <c r="E590" s="1367">
        <f t="shared" si="126"/>
        <v>0</v>
      </c>
      <c r="F590" s="451"/>
      <c r="G590" s="451"/>
      <c r="H590" s="573">
        <v>0</v>
      </c>
      <c r="I590" s="451"/>
      <c r="J590" s="451"/>
      <c r="K590" s="573">
        <v>0</v>
      </c>
      <c r="L590" s="1367">
        <f>I590+J590+K590</f>
        <v>0</v>
      </c>
      <c r="M590" s="7" t="str">
        <f t="shared" si="124"/>
        <v/>
      </c>
      <c r="N590" s="514"/>
    </row>
    <row r="591" spans="1:14" s="17" customFormat="1" ht="36" hidden="1" customHeight="1">
      <c r="A591" s="43">
        <v>567</v>
      </c>
      <c r="B591" s="181"/>
      <c r="C591" s="619">
        <v>9603</v>
      </c>
      <c r="D591" s="634" t="s">
        <v>942</v>
      </c>
      <c r="E591" s="1369">
        <f t="shared" si="126"/>
        <v>0</v>
      </c>
      <c r="F591" s="451"/>
      <c r="G591" s="451"/>
      <c r="H591" s="574">
        <v>0</v>
      </c>
      <c r="I591" s="451"/>
      <c r="J591" s="451"/>
      <c r="K591" s="574">
        <v>0</v>
      </c>
      <c r="L591" s="1369">
        <f>I591+J591+K591</f>
        <v>0</v>
      </c>
      <c r="M591" s="7" t="str">
        <f t="shared" si="124"/>
        <v/>
      </c>
      <c r="N591" s="514"/>
    </row>
    <row r="592" spans="1:14" s="17" customFormat="1" ht="30.75" hidden="1" customHeight="1">
      <c r="A592" s="43">
        <v>568</v>
      </c>
      <c r="B592" s="181"/>
      <c r="C592" s="448">
        <v>9607</v>
      </c>
      <c r="D592" s="635" t="s">
        <v>943</v>
      </c>
      <c r="E592" s="1370">
        <f t="shared" si="126"/>
        <v>0</v>
      </c>
      <c r="F592" s="451"/>
      <c r="G592" s="451"/>
      <c r="H592" s="574">
        <v>0</v>
      </c>
      <c r="I592" s="451"/>
      <c r="J592" s="451"/>
      <c r="K592" s="574">
        <v>0</v>
      </c>
      <c r="L592" s="1370">
        <f>I592+J592+K592</f>
        <v>0</v>
      </c>
      <c r="M592" s="7" t="str">
        <f t="shared" ref="M592:M599" si="133">(IF($E592&lt;&gt;0,$M$2,IF($L592&lt;&gt;0,$M$2,"")))</f>
        <v/>
      </c>
      <c r="N592" s="514"/>
    </row>
    <row r="593" spans="1:14" s="17" customFormat="1" ht="18.75" hidden="1" customHeight="1">
      <c r="A593" s="43">
        <v>569</v>
      </c>
      <c r="B593" s="181"/>
      <c r="C593" s="477">
        <v>9609</v>
      </c>
      <c r="D593" s="636" t="s">
        <v>944</v>
      </c>
      <c r="E593" s="1371">
        <f t="shared" si="126"/>
        <v>0</v>
      </c>
      <c r="F593" s="451"/>
      <c r="G593" s="451"/>
      <c r="H593" s="575">
        <v>0</v>
      </c>
      <c r="I593" s="451"/>
      <c r="J593" s="451"/>
      <c r="K593" s="575">
        <v>0</v>
      </c>
      <c r="L593" s="1371">
        <f>I593+J593+K593</f>
        <v>0</v>
      </c>
      <c r="M593" s="7" t="str">
        <f t="shared" si="133"/>
        <v/>
      </c>
      <c r="N593" s="514"/>
    </row>
    <row r="594" spans="1:14" s="15" customFormat="1" ht="18" hidden="1" customHeight="1">
      <c r="A594" s="39">
        <v>575</v>
      </c>
      <c r="B594" s="566">
        <v>9800</v>
      </c>
      <c r="C594" s="1957" t="s">
        <v>819</v>
      </c>
      <c r="D594" s="1936"/>
      <c r="E594" s="567">
        <f t="shared" ref="E594:L594" si="134">SUM(E595:E599)</f>
        <v>0</v>
      </c>
      <c r="F594" s="576">
        <f t="shared" si="134"/>
        <v>0</v>
      </c>
      <c r="G594" s="569">
        <f t="shared" si="134"/>
        <v>0</v>
      </c>
      <c r="H594" s="570">
        <f>SUM(H595:H599)</f>
        <v>0</v>
      </c>
      <c r="I594" s="576">
        <f t="shared" si="134"/>
        <v>0</v>
      </c>
      <c r="J594" s="569">
        <f t="shared" si="134"/>
        <v>0</v>
      </c>
      <c r="K594" s="570">
        <f t="shared" si="134"/>
        <v>0</v>
      </c>
      <c r="L594" s="567">
        <f t="shared" si="134"/>
        <v>0</v>
      </c>
      <c r="M594" s="7" t="str">
        <f t="shared" si="133"/>
        <v/>
      </c>
      <c r="N594" s="514"/>
    </row>
    <row r="595" spans="1:14" ht="18.75" hidden="1" customHeight="1">
      <c r="A595" s="36">
        <v>580</v>
      </c>
      <c r="B595" s="571"/>
      <c r="C595" s="150">
        <v>9810</v>
      </c>
      <c r="D595" s="187" t="s">
        <v>796</v>
      </c>
      <c r="E595" s="637">
        <f t="shared" si="126"/>
        <v>0</v>
      </c>
      <c r="F595" s="152"/>
      <c r="G595" s="153"/>
      <c r="H595" s="573">
        <v>0</v>
      </c>
      <c r="I595" s="152"/>
      <c r="J595" s="153"/>
      <c r="K595" s="573">
        <v>0</v>
      </c>
      <c r="L595" s="1367">
        <f>I595+J595+K595</f>
        <v>0</v>
      </c>
      <c r="M595" s="7" t="str">
        <f t="shared" si="133"/>
        <v/>
      </c>
      <c r="N595" s="514"/>
    </row>
    <row r="596" spans="1:14" ht="18.75" hidden="1" customHeight="1">
      <c r="A596" s="36">
        <v>585</v>
      </c>
      <c r="B596" s="571"/>
      <c r="C596" s="156">
        <v>9820</v>
      </c>
      <c r="D596" s="157" t="s">
        <v>797</v>
      </c>
      <c r="E596" s="638">
        <f t="shared" si="126"/>
        <v>0</v>
      </c>
      <c r="F596" s="158"/>
      <c r="G596" s="159"/>
      <c r="H596" s="574">
        <v>0</v>
      </c>
      <c r="I596" s="158"/>
      <c r="J596" s="159"/>
      <c r="K596" s="574">
        <v>0</v>
      </c>
      <c r="L596" s="1368">
        <f>I596+J596+K596</f>
        <v>0</v>
      </c>
      <c r="M596" s="7" t="str">
        <f t="shared" si="133"/>
        <v/>
      </c>
      <c r="N596" s="514"/>
    </row>
    <row r="597" spans="1:14" ht="18.75" hidden="1" customHeight="1">
      <c r="A597" s="36">
        <v>590</v>
      </c>
      <c r="B597" s="571"/>
      <c r="C597" s="156">
        <v>9830</v>
      </c>
      <c r="D597" s="157" t="s">
        <v>798</v>
      </c>
      <c r="E597" s="638">
        <f t="shared" si="126"/>
        <v>0</v>
      </c>
      <c r="F597" s="158"/>
      <c r="G597" s="159"/>
      <c r="H597" s="574">
        <v>0</v>
      </c>
      <c r="I597" s="158"/>
      <c r="J597" s="159"/>
      <c r="K597" s="574">
        <v>0</v>
      </c>
      <c r="L597" s="1368">
        <f>I597+J597+K597</f>
        <v>0</v>
      </c>
      <c r="M597" s="7" t="str">
        <f t="shared" si="133"/>
        <v/>
      </c>
      <c r="N597" s="514"/>
    </row>
    <row r="598" spans="1:14" ht="18.75" hidden="1" customHeight="1">
      <c r="A598" s="23">
        <v>600</v>
      </c>
      <c r="B598" s="571"/>
      <c r="C598" s="162">
        <v>9850</v>
      </c>
      <c r="D598" s="182" t="s">
        <v>799</v>
      </c>
      <c r="E598" s="639">
        <f t="shared" si="126"/>
        <v>0</v>
      </c>
      <c r="F598" s="164"/>
      <c r="G598" s="159"/>
      <c r="H598" s="586">
        <v>0</v>
      </c>
      <c r="I598" s="164"/>
      <c r="J598" s="159"/>
      <c r="K598" s="586">
        <v>0</v>
      </c>
      <c r="L598" s="1380">
        <f>I598+J598+K598</f>
        <v>0</v>
      </c>
      <c r="M598" s="7" t="str">
        <f t="shared" si="133"/>
        <v/>
      </c>
      <c r="N598" s="514"/>
    </row>
    <row r="599" spans="1:14" ht="21.75" hidden="1" customHeight="1">
      <c r="A599" s="23">
        <v>605</v>
      </c>
      <c r="B599" s="640"/>
      <c r="C599" s="641">
        <v>9890</v>
      </c>
      <c r="D599" s="642" t="s">
        <v>2175</v>
      </c>
      <c r="E599" s="1390">
        <f>F599+G599+H599</f>
        <v>0</v>
      </c>
      <c r="F599" s="643">
        <v>0</v>
      </c>
      <c r="G599" s="644">
        <v>0</v>
      </c>
      <c r="H599" s="645">
        <v>0</v>
      </c>
      <c r="I599" s="1456">
        <v>0</v>
      </c>
      <c r="J599" s="1457">
        <v>0</v>
      </c>
      <c r="K599" s="646">
        <v>0</v>
      </c>
      <c r="L599" s="1390">
        <f>I599+J599+K599</f>
        <v>0</v>
      </c>
      <c r="M599" s="7" t="str">
        <f t="shared" si="133"/>
        <v/>
      </c>
      <c r="N599" s="514"/>
    </row>
    <row r="600" spans="1:14" ht="20.25" customHeight="1" thickBot="1">
      <c r="A600" s="23">
        <v>610</v>
      </c>
      <c r="B600" s="647" t="s">
        <v>892</v>
      </c>
      <c r="C600" s="648" t="s">
        <v>727</v>
      </c>
      <c r="D600" s="649" t="s">
        <v>945</v>
      </c>
      <c r="E600" s="650">
        <f t="shared" ref="E600:L600" si="135">SUM(E464,E468,E471,E474,E484,E500,E505,E506,E515,E519,E524,E481,E527,E534,E538,E539,E544,E547,E569,E589,E594)</f>
        <v>0</v>
      </c>
      <c r="F600" s="651">
        <f t="shared" si="135"/>
        <v>0</v>
      </c>
      <c r="G600" s="652">
        <f t="shared" si="135"/>
        <v>0</v>
      </c>
      <c r="H600" s="653">
        <f t="shared" si="135"/>
        <v>0</v>
      </c>
      <c r="I600" s="651">
        <f t="shared" si="135"/>
        <v>7723</v>
      </c>
      <c r="J600" s="652">
        <f t="shared" si="135"/>
        <v>0</v>
      </c>
      <c r="K600" s="654">
        <f t="shared" si="135"/>
        <v>0</v>
      </c>
      <c r="L600" s="650">
        <f t="shared" si="135"/>
        <v>7723</v>
      </c>
      <c r="M600" s="7">
        <v>1</v>
      </c>
      <c r="N600" s="514"/>
    </row>
    <row r="601" spans="1:14" ht="16.5" thickTop="1">
      <c r="A601" s="23"/>
      <c r="B601" s="228"/>
      <c r="C601" s="228"/>
      <c r="D601" s="549">
        <f>+IF(+SUM(E601:J601)=0,0,"Контрола: дефицит/излишък = финансиране с обратен знак (V. + VІ. = 0)")</f>
        <v>0</v>
      </c>
      <c r="E601" s="655">
        <f>E600+E448</f>
        <v>0</v>
      </c>
      <c r="F601" s="656"/>
      <c r="G601" s="656"/>
      <c r="H601" s="656"/>
      <c r="I601" s="655"/>
      <c r="J601" s="656"/>
      <c r="K601" s="656"/>
      <c r="L601" s="656">
        <f>L600+L448</f>
        <v>0</v>
      </c>
      <c r="M601" s="7">
        <v>1</v>
      </c>
      <c r="N601" s="514"/>
    </row>
    <row r="602" spans="1:14">
      <c r="A602" s="23"/>
      <c r="B602" s="391"/>
      <c r="C602" s="542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4"/>
    </row>
    <row r="603" spans="1:14" ht="25.5" customHeight="1">
      <c r="A603" s="23"/>
      <c r="B603" s="391"/>
      <c r="C603" s="6"/>
      <c r="D603" s="229"/>
      <c r="E603" s="59"/>
      <c r="F603" s="59" t="s">
        <v>861</v>
      </c>
      <c r="G603" s="1929" t="s">
        <v>2188</v>
      </c>
      <c r="H603" s="1930"/>
      <c r="I603" s="1930"/>
      <c r="J603" s="1931"/>
      <c r="K603" s="103"/>
      <c r="L603" s="228"/>
      <c r="M603" s="7">
        <v>1</v>
      </c>
      <c r="N603" s="514"/>
    </row>
    <row r="604" spans="1:14" ht="18.75" customHeight="1">
      <c r="A604" s="23"/>
      <c r="B604" s="391"/>
      <c r="C604" s="542"/>
      <c r="D604" s="229"/>
      <c r="E604" s="228"/>
      <c r="F604" s="542"/>
      <c r="G604" s="1917" t="s">
        <v>862</v>
      </c>
      <c r="H604" s="1917"/>
      <c r="I604" s="1917"/>
      <c r="J604" s="1917"/>
      <c r="K604" s="103"/>
      <c r="L604" s="228"/>
      <c r="M604" s="7">
        <v>1</v>
      </c>
      <c r="N604" s="514"/>
    </row>
    <row r="605" spans="1:14" ht="6.75" customHeight="1">
      <c r="A605" s="23"/>
      <c r="B605" s="391"/>
      <c r="C605" s="542"/>
      <c r="D605" s="229"/>
      <c r="E605" s="228"/>
      <c r="F605" s="542"/>
      <c r="G605" s="218"/>
      <c r="H605" s="218"/>
      <c r="I605" s="218"/>
      <c r="J605" s="218"/>
      <c r="K605" s="103"/>
      <c r="L605" s="228"/>
      <c r="M605" s="7">
        <v>1</v>
      </c>
      <c r="N605" s="514"/>
    </row>
    <row r="606" spans="1:14" ht="25.5" customHeight="1">
      <c r="A606" s="23"/>
      <c r="B606" s="391"/>
      <c r="C606" s="657" t="s">
        <v>863</v>
      </c>
      <c r="D606" s="658" t="s">
        <v>2188</v>
      </c>
      <c r="E606" s="659"/>
      <c r="F606" s="218" t="s">
        <v>864</v>
      </c>
      <c r="G606" s="1932" t="s">
        <v>2187</v>
      </c>
      <c r="H606" s="1933"/>
      <c r="I606" s="1933"/>
      <c r="J606" s="1934"/>
      <c r="K606" s="103"/>
      <c r="L606" s="228"/>
      <c r="M606" s="7">
        <v>1</v>
      </c>
      <c r="N606" s="514"/>
    </row>
    <row r="607" spans="1:14" ht="21.75" customHeight="1">
      <c r="A607" s="23"/>
      <c r="B607" s="1915" t="s">
        <v>865</v>
      </c>
      <c r="C607" s="1916"/>
      <c r="D607" s="660" t="s">
        <v>866</v>
      </c>
      <c r="E607" s="661"/>
      <c r="F607" s="662"/>
      <c r="G607" s="1917" t="s">
        <v>862</v>
      </c>
      <c r="H607" s="1917"/>
      <c r="I607" s="1917"/>
      <c r="J607" s="1917"/>
      <c r="K607" s="103"/>
      <c r="L607" s="228"/>
      <c r="M607" s="7">
        <v>1</v>
      </c>
      <c r="N607" s="514"/>
    </row>
    <row r="608" spans="1:14" ht="24.75" customHeight="1">
      <c r="A608" s="36"/>
      <c r="B608" s="1918"/>
      <c r="C608" s="1919"/>
      <c r="D608" s="663" t="s">
        <v>867</v>
      </c>
      <c r="E608" s="664"/>
      <c r="F608" s="665"/>
      <c r="G608" s="666" t="s">
        <v>868</v>
      </c>
      <c r="H608" s="1920"/>
      <c r="I608" s="1921"/>
      <c r="J608" s="1922"/>
      <c r="K608" s="103"/>
      <c r="L608" s="228"/>
      <c r="M608" s="7">
        <v>1</v>
      </c>
      <c r="N608" s="514"/>
    </row>
    <row r="609" spans="1:241" s="9" customFormat="1" ht="6" customHeight="1">
      <c r="A609" s="60"/>
      <c r="B609" s="228"/>
      <c r="C609" s="228"/>
      <c r="D609" s="391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4"/>
      <c r="O609" s="673"/>
      <c r="P609" s="673"/>
      <c r="Q609" s="673"/>
      <c r="R609" s="673"/>
      <c r="S609" s="673"/>
      <c r="T609" s="673"/>
      <c r="U609" s="673"/>
      <c r="V609" s="673"/>
      <c r="W609" s="673"/>
      <c r="X609" s="673"/>
      <c r="Y609" s="673"/>
      <c r="Z609" s="673"/>
      <c r="AA609" s="673"/>
      <c r="AB609" s="673"/>
      <c r="AC609" s="673"/>
      <c r="AD609" s="673"/>
      <c r="AE609" s="673"/>
      <c r="AF609" s="673"/>
      <c r="AG609" s="673"/>
      <c r="AH609" s="673"/>
      <c r="AI609" s="673"/>
      <c r="AJ609" s="673"/>
      <c r="AK609" s="673"/>
      <c r="AL609" s="673"/>
      <c r="AM609" s="673"/>
      <c r="AN609" s="673"/>
      <c r="AO609" s="673"/>
      <c r="AP609" s="673"/>
      <c r="AQ609" s="673"/>
      <c r="AR609" s="673"/>
      <c r="AS609" s="673"/>
      <c r="AT609" s="673"/>
      <c r="AU609" s="673"/>
      <c r="AV609" s="673"/>
      <c r="AW609" s="673"/>
      <c r="AX609" s="673"/>
      <c r="AY609" s="673"/>
      <c r="AZ609" s="673"/>
      <c r="BA609" s="673"/>
      <c r="BB609" s="673"/>
      <c r="BC609" s="673"/>
      <c r="BD609" s="673"/>
      <c r="BE609" s="673"/>
      <c r="BF609" s="673"/>
      <c r="BG609" s="673"/>
      <c r="BH609" s="673"/>
      <c r="BI609" s="673"/>
      <c r="BJ609" s="673"/>
      <c r="BK609" s="673"/>
      <c r="BL609" s="673"/>
      <c r="BM609" s="673"/>
      <c r="BN609" s="673"/>
      <c r="BO609" s="673"/>
      <c r="BP609" s="673"/>
      <c r="BQ609" s="673"/>
      <c r="BR609" s="673"/>
      <c r="BS609" s="673"/>
      <c r="BT609" s="673"/>
      <c r="BU609" s="673"/>
      <c r="BV609" s="673"/>
      <c r="BW609" s="673"/>
      <c r="BX609" s="673"/>
      <c r="BY609" s="673"/>
      <c r="BZ609" s="673"/>
      <c r="CA609" s="673"/>
      <c r="CB609" s="673"/>
      <c r="CC609" s="673"/>
      <c r="CD609" s="673"/>
      <c r="CE609" s="673"/>
      <c r="CF609" s="673"/>
      <c r="CG609" s="673"/>
      <c r="CH609" s="673"/>
      <c r="CI609" s="673"/>
      <c r="CJ609" s="673"/>
      <c r="CK609" s="673"/>
      <c r="CL609" s="673"/>
      <c r="CM609" s="673"/>
      <c r="CN609" s="673"/>
      <c r="CO609" s="673"/>
      <c r="CP609" s="673"/>
      <c r="CQ609" s="673"/>
      <c r="CR609" s="673"/>
      <c r="CS609" s="673"/>
      <c r="CT609" s="673"/>
      <c r="CU609" s="673"/>
      <c r="CV609" s="673"/>
      <c r="CW609" s="673"/>
      <c r="CX609" s="673"/>
      <c r="CY609" s="673"/>
      <c r="CZ609" s="673"/>
      <c r="DA609" s="673"/>
      <c r="DB609" s="673"/>
      <c r="DC609" s="673"/>
      <c r="DD609" s="673"/>
      <c r="DE609" s="673"/>
      <c r="DF609" s="673"/>
      <c r="DG609" s="673"/>
      <c r="DH609" s="673"/>
      <c r="DI609" s="673"/>
      <c r="DJ609" s="673"/>
      <c r="DK609" s="673"/>
      <c r="DL609" s="673"/>
      <c r="DM609" s="673"/>
      <c r="DN609" s="673"/>
      <c r="DO609" s="673"/>
      <c r="DP609" s="673"/>
      <c r="DQ609" s="673"/>
      <c r="DR609" s="673"/>
      <c r="DS609" s="673"/>
      <c r="DT609" s="673"/>
      <c r="DU609" s="673"/>
      <c r="DV609" s="673"/>
      <c r="DW609" s="673"/>
      <c r="DX609" s="673"/>
      <c r="DY609" s="673"/>
      <c r="DZ609" s="673"/>
      <c r="EA609" s="673"/>
      <c r="EB609" s="673"/>
      <c r="EC609" s="673"/>
      <c r="ED609" s="673"/>
      <c r="EE609" s="673"/>
      <c r="EF609" s="673"/>
      <c r="EG609" s="673"/>
      <c r="EH609" s="673"/>
      <c r="EI609" s="673"/>
      <c r="EJ609" s="673"/>
      <c r="EK609" s="673"/>
      <c r="EL609" s="673"/>
      <c r="EM609" s="673"/>
      <c r="EN609" s="673"/>
      <c r="EO609" s="673"/>
      <c r="EP609" s="673"/>
      <c r="EQ609" s="673"/>
      <c r="ER609" s="673"/>
      <c r="ES609" s="673"/>
      <c r="ET609" s="673"/>
      <c r="EU609" s="673"/>
      <c r="EV609" s="673"/>
      <c r="EW609" s="673"/>
      <c r="EX609" s="673"/>
      <c r="EY609" s="673"/>
      <c r="EZ609" s="673"/>
      <c r="FA609" s="673"/>
      <c r="FB609" s="673"/>
      <c r="FC609" s="673"/>
      <c r="FD609" s="673"/>
      <c r="FE609" s="673"/>
      <c r="FF609" s="673"/>
      <c r="FG609" s="673"/>
      <c r="FH609" s="673"/>
      <c r="FI609" s="673"/>
      <c r="FJ609" s="673"/>
      <c r="FK609" s="673"/>
      <c r="FL609" s="673"/>
      <c r="FM609" s="673"/>
      <c r="FN609" s="673"/>
      <c r="FO609" s="673"/>
      <c r="FP609" s="673"/>
      <c r="FQ609" s="673"/>
      <c r="FR609" s="673"/>
      <c r="FS609" s="673"/>
      <c r="FT609" s="673"/>
      <c r="FU609" s="673"/>
      <c r="FV609" s="673"/>
      <c r="FW609" s="673"/>
      <c r="FX609" s="673"/>
      <c r="FY609" s="673"/>
      <c r="FZ609" s="673"/>
      <c r="GA609" s="673"/>
      <c r="GB609" s="673"/>
      <c r="GC609" s="673"/>
      <c r="GD609" s="673"/>
      <c r="GE609" s="673"/>
      <c r="GF609" s="673"/>
      <c r="GG609" s="673"/>
      <c r="GH609" s="673"/>
      <c r="GI609" s="673"/>
      <c r="GJ609" s="673"/>
      <c r="GK609" s="673"/>
      <c r="GL609" s="673"/>
      <c r="GM609" s="673"/>
      <c r="GN609" s="673"/>
      <c r="GO609" s="673"/>
      <c r="GP609" s="673"/>
      <c r="GQ609" s="673"/>
      <c r="GR609" s="673"/>
      <c r="GS609" s="673"/>
      <c r="GT609" s="673"/>
      <c r="GU609" s="673"/>
      <c r="GV609" s="673"/>
      <c r="GW609" s="673"/>
      <c r="GX609" s="673"/>
      <c r="GY609" s="673"/>
      <c r="GZ609" s="673"/>
      <c r="HA609" s="673"/>
      <c r="HB609" s="673"/>
      <c r="HC609" s="673"/>
      <c r="HD609" s="673"/>
      <c r="HE609" s="673"/>
      <c r="HF609" s="673"/>
      <c r="HG609" s="673"/>
      <c r="HH609" s="673"/>
      <c r="HI609" s="673"/>
      <c r="HJ609" s="673"/>
      <c r="HK609" s="673"/>
      <c r="HL609" s="673"/>
      <c r="HM609" s="673"/>
      <c r="HN609" s="673"/>
      <c r="HO609" s="673"/>
      <c r="HP609" s="673"/>
      <c r="HQ609" s="673"/>
      <c r="HR609" s="673"/>
      <c r="HS609" s="673"/>
      <c r="HT609" s="673"/>
      <c r="HU609" s="673"/>
      <c r="HV609" s="673"/>
      <c r="HW609" s="673"/>
      <c r="HX609" s="673"/>
      <c r="HY609" s="673"/>
      <c r="HZ609" s="673"/>
      <c r="IA609" s="673"/>
      <c r="IB609" s="673"/>
      <c r="IC609" s="673"/>
      <c r="ID609" s="673"/>
      <c r="IE609" s="673"/>
      <c r="IF609" s="673"/>
      <c r="IG609" s="673"/>
    </row>
    <row r="610" spans="1:241" ht="21" hidden="1" customHeight="1">
      <c r="B610" s="667"/>
      <c r="C610" s="667"/>
      <c r="D610" s="668"/>
      <c r="E610" s="667"/>
      <c r="F610" s="667"/>
      <c r="G610" s="666" t="s">
        <v>869</v>
      </c>
      <c r="H610" s="1920"/>
      <c r="I610" s="1921"/>
      <c r="J610" s="1922"/>
      <c r="K610" s="223"/>
      <c r="L610" s="237"/>
      <c r="M610" s="7" t="e">
        <f>(IF(#REF!&lt;&gt;0,$M$2,IF(#REF!&lt;&gt;0,$M$2,"")))</f>
        <v>#REF!</v>
      </c>
      <c r="N610" s="514"/>
    </row>
    <row r="611" spans="1:241" hidden="1">
      <c r="B611" s="669"/>
      <c r="C611" s="669"/>
      <c r="D611" s="670"/>
      <c r="E611" s="669"/>
      <c r="F611" s="669"/>
      <c r="G611" s="669"/>
      <c r="H611" s="669"/>
      <c r="I611" s="669"/>
      <c r="J611" s="669"/>
      <c r="K611" s="669"/>
      <c r="L611" s="669"/>
      <c r="M611" s="669"/>
      <c r="N611" s="669"/>
    </row>
    <row r="612" spans="1:241" hidden="1">
      <c r="B612" s="108"/>
      <c r="C612" s="108"/>
      <c r="D612" s="671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>
      <c r="A614" s="22">
        <v>775</v>
      </c>
      <c r="B614" s="6"/>
      <c r="C614" s="6"/>
      <c r="D614" s="517"/>
      <c r="E614" s="38"/>
      <c r="F614" s="38"/>
      <c r="G614" s="38"/>
      <c r="H614" s="38"/>
      <c r="I614" s="38"/>
      <c r="J614" s="38"/>
      <c r="K614" s="38"/>
      <c r="L614" s="38"/>
      <c r="M614" s="7">
        <f>(IF($E750&lt;&gt;0,$M$2,IF($L750&lt;&gt;0,$M$2,"")))</f>
        <v>1</v>
      </c>
    </row>
    <row r="615" spans="1:241">
      <c r="A615" s="23">
        <v>780</v>
      </c>
      <c r="B615" s="6"/>
      <c r="C615" s="1353"/>
      <c r="D615" s="1354"/>
      <c r="E615" s="38"/>
      <c r="F615" s="38"/>
      <c r="G615" s="38"/>
      <c r="H615" s="38"/>
      <c r="I615" s="38"/>
      <c r="J615" s="38"/>
      <c r="K615" s="38"/>
      <c r="L615" s="38"/>
      <c r="M615" s="7">
        <f>(IF($E750&lt;&gt;0,$M$2,IF($L750&lt;&gt;0,$M$2,"")))</f>
        <v>1</v>
      </c>
    </row>
    <row r="616" spans="1:241">
      <c r="A616" s="23">
        <v>785</v>
      </c>
      <c r="B616" s="1950" t="str">
        <f>$B$7</f>
        <v>ОТЧЕТНИ ДАННИ ПО ЕБК ЗА ИЗПЪЛНЕНИЕТО НА БЮДЖЕТА</v>
      </c>
      <c r="C616" s="1951"/>
      <c r="D616" s="1951"/>
      <c r="E616" s="242"/>
      <c r="F616" s="242"/>
      <c r="G616" s="237"/>
      <c r="H616" s="237"/>
      <c r="I616" s="237"/>
      <c r="J616" s="237"/>
      <c r="K616" s="237"/>
      <c r="L616" s="237"/>
      <c r="M616" s="7">
        <f>(IF($E750&lt;&gt;0,$M$2,IF($L750&lt;&gt;0,$M$2,"")))</f>
        <v>1</v>
      </c>
    </row>
    <row r="617" spans="1:241">
      <c r="A617" s="23">
        <v>790</v>
      </c>
      <c r="B617" s="228"/>
      <c r="C617" s="391"/>
      <c r="D617" s="400"/>
      <c r="E617" s="406" t="s">
        <v>458</v>
      </c>
      <c r="F617" s="406" t="s">
        <v>820</v>
      </c>
      <c r="G617" s="237"/>
      <c r="H617" s="1350" t="s">
        <v>1235</v>
      </c>
      <c r="I617" s="1351"/>
      <c r="J617" s="1352"/>
      <c r="K617" s="237"/>
      <c r="L617" s="237"/>
      <c r="M617" s="7">
        <f>(IF($E750&lt;&gt;0,$M$2,IF($L750&lt;&gt;0,$M$2,"")))</f>
        <v>1</v>
      </c>
    </row>
    <row r="618" spans="1:241" ht="18.75">
      <c r="A618" s="23">
        <v>795</v>
      </c>
      <c r="B618" s="1952" t="str">
        <f>$B$9</f>
        <v>ДЕТСКА ГРАДИНА „СЛЪНЦЕ”</v>
      </c>
      <c r="C618" s="1953"/>
      <c r="D618" s="1954"/>
      <c r="E618" s="115">
        <f>$E$9</f>
        <v>45658</v>
      </c>
      <c r="F618" s="226">
        <f>$F$9</f>
        <v>46022</v>
      </c>
      <c r="G618" s="237"/>
      <c r="H618" s="237"/>
      <c r="I618" s="237"/>
      <c r="J618" s="237"/>
      <c r="K618" s="237"/>
      <c r="L618" s="237"/>
      <c r="M618" s="7">
        <f>(IF($E750&lt;&gt;0,$M$2,IF($L750&lt;&gt;0,$M$2,"")))</f>
        <v>1</v>
      </c>
    </row>
    <row r="619" spans="1:241">
      <c r="A619" s="22">
        <v>805</v>
      </c>
      <c r="B619" s="227" t="str">
        <f>$B$10</f>
        <v>(наименование на разпоредителя с бюджет)</v>
      </c>
      <c r="C619" s="228"/>
      <c r="D619" s="229"/>
      <c r="E619" s="237"/>
      <c r="F619" s="237"/>
      <c r="G619" s="237"/>
      <c r="H619" s="237"/>
      <c r="I619" s="237"/>
      <c r="J619" s="237"/>
      <c r="K619" s="237"/>
      <c r="L619" s="237"/>
      <c r="M619" s="7">
        <f>(IF($E750&lt;&gt;0,$M$2,IF($L750&lt;&gt;0,$M$2,"")))</f>
        <v>1</v>
      </c>
    </row>
    <row r="620" spans="1:241">
      <c r="A620" s="23">
        <v>810</v>
      </c>
      <c r="B620" s="227"/>
      <c r="C620" s="228"/>
      <c r="D620" s="229"/>
      <c r="E620" s="237"/>
      <c r="F620" s="237"/>
      <c r="G620" s="237"/>
      <c r="H620" s="237"/>
      <c r="I620" s="237"/>
      <c r="J620" s="237"/>
      <c r="K620" s="237"/>
      <c r="L620" s="237"/>
      <c r="M620" s="7">
        <f>(IF($E750&lt;&gt;0,$M$2,IF($L750&lt;&gt;0,$M$2,"")))</f>
        <v>1</v>
      </c>
    </row>
    <row r="621" spans="1:241" ht="19.5">
      <c r="A621" s="23">
        <v>815</v>
      </c>
      <c r="B621" s="2018" t="e">
        <f>$B$12</f>
        <v>#N/A</v>
      </c>
      <c r="C621" s="2019"/>
      <c r="D621" s="2020"/>
      <c r="E621" s="410" t="s">
        <v>875</v>
      </c>
      <c r="F621" s="1348" t="str">
        <f>$F$12</f>
        <v>1201341</v>
      </c>
      <c r="G621" s="237"/>
      <c r="H621" s="237"/>
      <c r="I621" s="237"/>
      <c r="J621" s="237"/>
      <c r="K621" s="237"/>
      <c r="L621" s="237"/>
      <c r="M621" s="7">
        <f>(IF($E750&lt;&gt;0,$M$2,IF($L750&lt;&gt;0,$M$2,"")))</f>
        <v>1</v>
      </c>
    </row>
    <row r="622" spans="1:241">
      <c r="A622" s="28">
        <v>525</v>
      </c>
      <c r="B622" s="233" t="str">
        <f>$B$13</f>
        <v>(наименование на първостепенния разпоредител с бюджет)</v>
      </c>
      <c r="C622" s="228"/>
      <c r="D622" s="229"/>
      <c r="E622" s="1349"/>
      <c r="F622" s="242"/>
      <c r="G622" s="237"/>
      <c r="H622" s="237"/>
      <c r="I622" s="237"/>
      <c r="J622" s="237"/>
      <c r="K622" s="237"/>
      <c r="L622" s="237"/>
      <c r="M622" s="7">
        <f>(IF($E750&lt;&gt;0,$M$2,IF($L750&lt;&gt;0,$M$2,"")))</f>
        <v>1</v>
      </c>
    </row>
    <row r="623" spans="1:241" ht="19.5">
      <c r="A623" s="22">
        <v>820</v>
      </c>
      <c r="B623" s="236"/>
      <c r="C623" s="237"/>
      <c r="D623" s="124" t="s">
        <v>876</v>
      </c>
      <c r="E623" s="238">
        <f>$E$15</f>
        <v>0</v>
      </c>
      <c r="F623" s="414" t="str">
        <f>$F$15</f>
        <v>БЮДЖЕТ</v>
      </c>
      <c r="G623" s="218"/>
      <c r="H623" s="218"/>
      <c r="I623" s="218"/>
      <c r="J623" s="218"/>
      <c r="K623" s="218"/>
      <c r="L623" s="218"/>
      <c r="M623" s="7">
        <f>(IF($E750&lt;&gt;0,$M$2,IF($L750&lt;&gt;0,$M$2,"")))</f>
        <v>1</v>
      </c>
    </row>
    <row r="624" spans="1:241" ht="16.5" thickBot="1">
      <c r="A624" s="23">
        <v>821</v>
      </c>
      <c r="B624" s="228"/>
      <c r="C624" s="391"/>
      <c r="D624" s="400"/>
      <c r="E624" s="237"/>
      <c r="F624" s="409"/>
      <c r="G624" s="409"/>
      <c r="H624" s="409"/>
      <c r="I624" s="409"/>
      <c r="J624" s="409"/>
      <c r="K624" s="409"/>
      <c r="L624" s="1365" t="s">
        <v>459</v>
      </c>
      <c r="M624" s="7">
        <f>(IF($E750&lt;&gt;0,$M$2,IF($L750&lt;&gt;0,$M$2,"")))</f>
        <v>1</v>
      </c>
    </row>
    <row r="625" spans="1:14" ht="24.95" customHeight="1">
      <c r="A625" s="23">
        <v>822</v>
      </c>
      <c r="B625" s="247"/>
      <c r="C625" s="248"/>
      <c r="D625" s="249" t="s">
        <v>699</v>
      </c>
      <c r="E625" s="1994" t="str">
        <f>CONCATENATE("Уточнен план ",$C$3)</f>
        <v>Уточнен план 2025</v>
      </c>
      <c r="F625" s="1995"/>
      <c r="G625" s="1995"/>
      <c r="H625" s="1996"/>
      <c r="I625" s="2003" t="str">
        <f>CONCATENATE("Отчет ",$C$3)</f>
        <v>Отчет 2025</v>
      </c>
      <c r="J625" s="2004"/>
      <c r="K625" s="2004"/>
      <c r="L625" s="2005"/>
      <c r="M625" s="7">
        <f>(IF($E750&lt;&gt;0,$M$2,IF($L750&lt;&gt;0,$M$2,"")))</f>
        <v>1</v>
      </c>
    </row>
    <row r="626" spans="1:14" ht="54.95" customHeight="1" thickBot="1">
      <c r="A626" s="23">
        <v>823</v>
      </c>
      <c r="B626" s="250" t="s">
        <v>62</v>
      </c>
      <c r="C626" s="251" t="s">
        <v>460</v>
      </c>
      <c r="D626" s="252" t="s">
        <v>700</v>
      </c>
      <c r="E626" s="1391" t="str">
        <f>$E$20</f>
        <v>Уточнен план                Общо</v>
      </c>
      <c r="F626" s="1395" t="str">
        <f>$F$20</f>
        <v>държавни дейности</v>
      </c>
      <c r="G626" s="1396" t="str">
        <f>$G$20</f>
        <v>местни дейности</v>
      </c>
      <c r="H626" s="1397" t="str">
        <f>$H$20</f>
        <v>дофинансиране</v>
      </c>
      <c r="I626" s="253" t="str">
        <f>$I$20</f>
        <v>държавни дейности -ОТЧЕТ</v>
      </c>
      <c r="J626" s="254" t="str">
        <f>$J$20</f>
        <v>местни дейности - ОТЧЕТ</v>
      </c>
      <c r="K626" s="255" t="str">
        <f>$K$20</f>
        <v>дофинансиране - ОТЧЕТ</v>
      </c>
      <c r="L626" s="1675" t="str">
        <f>$L$20</f>
        <v>ОТЧЕТ                                    ОБЩО</v>
      </c>
      <c r="M626" s="7">
        <f>(IF($E750&lt;&gt;0,$M$2,IF($L750&lt;&gt;0,$M$2,"")))</f>
        <v>1</v>
      </c>
    </row>
    <row r="627" spans="1:14" ht="18.75">
      <c r="A627" s="23">
        <v>825</v>
      </c>
      <c r="B627" s="258"/>
      <c r="C627" s="259"/>
      <c r="D627" s="260" t="s">
        <v>729</v>
      </c>
      <c r="E627" s="1442" t="str">
        <f>$E$21</f>
        <v>(1)</v>
      </c>
      <c r="F627" s="143" t="str">
        <f>$F$21</f>
        <v>(2)</v>
      </c>
      <c r="G627" s="144" t="str">
        <f>$G$21</f>
        <v>(3)</v>
      </c>
      <c r="H627" s="145" t="str">
        <f>$H$21</f>
        <v>(4)</v>
      </c>
      <c r="I627" s="261" t="str">
        <f>$I$21</f>
        <v>(5)</v>
      </c>
      <c r="J627" s="262" t="str">
        <f>$J$21</f>
        <v>(6)</v>
      </c>
      <c r="K627" s="263" t="str">
        <f>$K$21</f>
        <v>(7)</v>
      </c>
      <c r="L627" s="264" t="str">
        <f>$L$21</f>
        <v>(8)</v>
      </c>
      <c r="M627" s="7">
        <f>(IF($E750&lt;&gt;0,$M$2,IF($L750&lt;&gt;0,$M$2,"")))</f>
        <v>1</v>
      </c>
    </row>
    <row r="628" spans="1:14">
      <c r="A628" s="23"/>
      <c r="B628" s="1439"/>
      <c r="C628" s="1540" t="e">
        <f>VLOOKUP(D628,OP_LIST2,2,FALSE)</f>
        <v>#N/A</v>
      </c>
      <c r="D628" s="1445"/>
      <c r="E628" s="389"/>
      <c r="F628" s="1429"/>
      <c r="G628" s="1430"/>
      <c r="H628" s="1431"/>
      <c r="I628" s="1429"/>
      <c r="J628" s="1430"/>
      <c r="K628" s="1431"/>
      <c r="L628" s="1428"/>
      <c r="M628" s="7">
        <f>(IF($E750&lt;&gt;0,$M$2,IF($L750&lt;&gt;0,$M$2,"")))</f>
        <v>1</v>
      </c>
    </row>
    <row r="629" spans="1:14">
      <c r="A629" s="23"/>
      <c r="B629" s="1713" t="s">
        <v>2056</v>
      </c>
      <c r="C629" s="1446">
        <f>VLOOKUP(D630,EBK_DEIN2,2,FALSE)</f>
        <v>3311</v>
      </c>
      <c r="D629" s="1445" t="s">
        <v>778</v>
      </c>
      <c r="E629" s="389"/>
      <c r="F629" s="1432"/>
      <c r="G629" s="1433"/>
      <c r="H629" s="1434"/>
      <c r="I629" s="1432"/>
      <c r="J629" s="1433"/>
      <c r="K629" s="1434"/>
      <c r="L629" s="1428"/>
      <c r="M629" s="7">
        <f>(IF($E750&lt;&gt;0,$M$2,IF($L750&lt;&gt;0,$M$2,"")))</f>
        <v>1</v>
      </c>
    </row>
    <row r="630" spans="1:14">
      <c r="A630" s="23"/>
      <c r="B630" s="1438"/>
      <c r="C630" s="1531">
        <f>+C629</f>
        <v>3311</v>
      </c>
      <c r="D630" s="1440" t="s">
        <v>2002</v>
      </c>
      <c r="E630" s="389"/>
      <c r="F630" s="1432"/>
      <c r="G630" s="1433"/>
      <c r="H630" s="1434"/>
      <c r="I630" s="1432"/>
      <c r="J630" s="1433"/>
      <c r="K630" s="1434"/>
      <c r="L630" s="1428"/>
      <c r="M630" s="7">
        <f>(IF($E750&lt;&gt;0,$M$2,IF($L750&lt;&gt;0,$M$2,"")))</f>
        <v>1</v>
      </c>
    </row>
    <row r="631" spans="1:14">
      <c r="A631" s="23"/>
      <c r="B631" s="1443"/>
      <c r="C631" s="1441"/>
      <c r="D631" s="1444" t="s">
        <v>701</v>
      </c>
      <c r="E631" s="389"/>
      <c r="F631" s="1435"/>
      <c r="G631" s="1436"/>
      <c r="H631" s="1437"/>
      <c r="I631" s="1435"/>
      <c r="J631" s="1436"/>
      <c r="K631" s="1437"/>
      <c r="L631" s="1428"/>
      <c r="M631" s="7">
        <f>(IF($E750&lt;&gt;0,$M$2,IF($L750&lt;&gt;0,$M$2,"")))</f>
        <v>1</v>
      </c>
    </row>
    <row r="632" spans="1:14">
      <c r="A632" s="23"/>
      <c r="B632" s="272">
        <v>100</v>
      </c>
      <c r="C632" s="1983" t="s">
        <v>730</v>
      </c>
      <c r="D632" s="1984"/>
      <c r="E632" s="273">
        <f t="shared" ref="E632:L632" si="136">SUM(E633:E634)</f>
        <v>0</v>
      </c>
      <c r="F632" s="274">
        <f t="shared" si="136"/>
        <v>0</v>
      </c>
      <c r="G632" s="275">
        <f t="shared" si="136"/>
        <v>0</v>
      </c>
      <c r="H632" s="276">
        <f>SUM(H633:H634)</f>
        <v>0</v>
      </c>
      <c r="I632" s="274">
        <f t="shared" si="136"/>
        <v>688218</v>
      </c>
      <c r="J632" s="275">
        <f t="shared" si="136"/>
        <v>0</v>
      </c>
      <c r="K632" s="276">
        <f t="shared" si="136"/>
        <v>0</v>
      </c>
      <c r="L632" s="273">
        <f t="shared" si="136"/>
        <v>688218</v>
      </c>
      <c r="M632" s="12">
        <f>(IF($E632&lt;&gt;0,$M$2,IF($L632&lt;&gt;0,$M$2,"")))</f>
        <v>1</v>
      </c>
      <c r="N632" s="13"/>
    </row>
    <row r="633" spans="1:14">
      <c r="A633" s="23"/>
      <c r="B633" s="278"/>
      <c r="C633" s="279">
        <v>101</v>
      </c>
      <c r="D633" s="280" t="s">
        <v>731</v>
      </c>
      <c r="E633" s="281">
        <f>F633+G633+H633</f>
        <v>0</v>
      </c>
      <c r="F633" s="152"/>
      <c r="G633" s="153"/>
      <c r="H633" s="1406"/>
      <c r="I633" s="152">
        <f>44152+636996+7070</f>
        <v>688218</v>
      </c>
      <c r="J633" s="153"/>
      <c r="K633" s="1406"/>
      <c r="L633" s="281">
        <f>I633+J633+K633</f>
        <v>688218</v>
      </c>
      <c r="M633" s="12">
        <f t="shared" ref="M633:M696" si="137">(IF($E633&lt;&gt;0,$M$2,IF($L633&lt;&gt;0,$M$2,"")))</f>
        <v>1</v>
      </c>
      <c r="N633" s="13"/>
    </row>
    <row r="634" spans="1:14" hidden="1">
      <c r="A634" s="10"/>
      <c r="B634" s="278"/>
      <c r="C634" s="285">
        <v>102</v>
      </c>
      <c r="D634" s="286" t="s">
        <v>732</v>
      </c>
      <c r="E634" s="287">
        <f>F634+G634+H634</f>
        <v>0</v>
      </c>
      <c r="F634" s="173"/>
      <c r="G634" s="174"/>
      <c r="H634" s="1409"/>
      <c r="I634" s="173"/>
      <c r="J634" s="174"/>
      <c r="K634" s="1409"/>
      <c r="L634" s="287">
        <f>I634+J634+K634</f>
        <v>0</v>
      </c>
      <c r="M634" s="12" t="str">
        <f t="shared" si="137"/>
        <v/>
      </c>
      <c r="N634" s="13"/>
    </row>
    <row r="635" spans="1:14">
      <c r="A635" s="10"/>
      <c r="B635" s="272">
        <v>200</v>
      </c>
      <c r="C635" s="1979" t="s">
        <v>733</v>
      </c>
      <c r="D635" s="1980"/>
      <c r="E635" s="273">
        <f t="shared" ref="E635:L635" si="138">SUM(E636:E640)</f>
        <v>0</v>
      </c>
      <c r="F635" s="274">
        <f t="shared" si="138"/>
        <v>0</v>
      </c>
      <c r="G635" s="275">
        <f t="shared" si="138"/>
        <v>0</v>
      </c>
      <c r="H635" s="276">
        <f>SUM(H636:H640)</f>
        <v>0</v>
      </c>
      <c r="I635" s="274">
        <f t="shared" si="138"/>
        <v>38346</v>
      </c>
      <c r="J635" s="275">
        <f t="shared" si="138"/>
        <v>0</v>
      </c>
      <c r="K635" s="276">
        <f t="shared" si="138"/>
        <v>0</v>
      </c>
      <c r="L635" s="273">
        <f t="shared" si="138"/>
        <v>38346</v>
      </c>
      <c r="M635" s="12">
        <f t="shared" si="137"/>
        <v>1</v>
      </c>
      <c r="N635" s="13"/>
    </row>
    <row r="636" spans="1:14" hidden="1">
      <c r="A636" s="10"/>
      <c r="B636" s="291"/>
      <c r="C636" s="279">
        <v>201</v>
      </c>
      <c r="D636" s="280" t="s">
        <v>734</v>
      </c>
      <c r="E636" s="281">
        <f>F636+G636+H636</f>
        <v>0</v>
      </c>
      <c r="F636" s="152"/>
      <c r="G636" s="153"/>
      <c r="H636" s="1406"/>
      <c r="I636" s="152"/>
      <c r="J636" s="153"/>
      <c r="K636" s="1406"/>
      <c r="L636" s="281">
        <f>I636+J636+K636</f>
        <v>0</v>
      </c>
      <c r="M636" s="12" t="str">
        <f t="shared" si="137"/>
        <v/>
      </c>
      <c r="N636" s="13"/>
    </row>
    <row r="637" spans="1:14">
      <c r="A637" s="10"/>
      <c r="B637" s="292"/>
      <c r="C637" s="293">
        <v>202</v>
      </c>
      <c r="D637" s="294" t="s">
        <v>735</v>
      </c>
      <c r="E637" s="295">
        <f>F637+G637+H637</f>
        <v>0</v>
      </c>
      <c r="F637" s="158"/>
      <c r="G637" s="159"/>
      <c r="H637" s="1408"/>
      <c r="I637" s="158">
        <f>1317+22582</f>
        <v>23899</v>
      </c>
      <c r="J637" s="159"/>
      <c r="K637" s="1408"/>
      <c r="L637" s="295">
        <f>I637+J637+K637</f>
        <v>23899</v>
      </c>
      <c r="M637" s="12">
        <f t="shared" si="137"/>
        <v>1</v>
      </c>
      <c r="N637" s="13"/>
    </row>
    <row r="638" spans="1:14" ht="31.5">
      <c r="A638" s="10"/>
      <c r="B638" s="299"/>
      <c r="C638" s="293">
        <v>205</v>
      </c>
      <c r="D638" s="294" t="s">
        <v>586</v>
      </c>
      <c r="E638" s="295">
        <f>F638+G638+H638</f>
        <v>0</v>
      </c>
      <c r="F638" s="158"/>
      <c r="G638" s="159"/>
      <c r="H638" s="1408"/>
      <c r="I638" s="158">
        <v>14447</v>
      </c>
      <c r="J638" s="159"/>
      <c r="K638" s="1408"/>
      <c r="L638" s="295">
        <f>I638+J638+K638</f>
        <v>14447</v>
      </c>
      <c r="M638" s="12">
        <f t="shared" si="137"/>
        <v>1</v>
      </c>
      <c r="N638" s="13"/>
    </row>
    <row r="639" spans="1:14" hidden="1">
      <c r="A639" s="10"/>
      <c r="B639" s="299"/>
      <c r="C639" s="293">
        <v>208</v>
      </c>
      <c r="D639" s="300" t="s">
        <v>587</v>
      </c>
      <c r="E639" s="295">
        <f>F639+G639+H639</f>
        <v>0</v>
      </c>
      <c r="F639" s="158"/>
      <c r="G639" s="159"/>
      <c r="H639" s="1408"/>
      <c r="I639" s="158"/>
      <c r="J639" s="159"/>
      <c r="K639" s="1408"/>
      <c r="L639" s="295">
        <f>I639+J639+K639</f>
        <v>0</v>
      </c>
      <c r="M639" s="12" t="str">
        <f t="shared" si="137"/>
        <v/>
      </c>
      <c r="N639" s="13"/>
    </row>
    <row r="640" spans="1:14" hidden="1">
      <c r="A640" s="10"/>
      <c r="B640" s="291"/>
      <c r="C640" s="285">
        <v>209</v>
      </c>
      <c r="D640" s="301" t="s">
        <v>588</v>
      </c>
      <c r="E640" s="287">
        <f>F640+G640+H640</f>
        <v>0</v>
      </c>
      <c r="F640" s="173"/>
      <c r="G640" s="174"/>
      <c r="H640" s="1409"/>
      <c r="I640" s="173"/>
      <c r="J640" s="174"/>
      <c r="K640" s="1409"/>
      <c r="L640" s="287">
        <f>I640+J640+K640</f>
        <v>0</v>
      </c>
      <c r="M640" s="12" t="str">
        <f t="shared" si="137"/>
        <v/>
      </c>
      <c r="N640" s="13"/>
    </row>
    <row r="641" spans="1:14">
      <c r="A641" s="10"/>
      <c r="B641" s="272">
        <v>500</v>
      </c>
      <c r="C641" s="1981" t="s">
        <v>188</v>
      </c>
      <c r="D641" s="1982"/>
      <c r="E641" s="273">
        <f t="shared" ref="E641:L641" si="139">SUM(E642:E648)</f>
        <v>0</v>
      </c>
      <c r="F641" s="274">
        <f t="shared" si="139"/>
        <v>0</v>
      </c>
      <c r="G641" s="275">
        <f t="shared" si="139"/>
        <v>0</v>
      </c>
      <c r="H641" s="276">
        <f>SUM(H642:H648)</f>
        <v>0</v>
      </c>
      <c r="I641" s="274">
        <f t="shared" si="139"/>
        <v>170033</v>
      </c>
      <c r="J641" s="275">
        <f t="shared" si="139"/>
        <v>0</v>
      </c>
      <c r="K641" s="276">
        <f t="shared" si="139"/>
        <v>0</v>
      </c>
      <c r="L641" s="273">
        <f t="shared" si="139"/>
        <v>170033</v>
      </c>
      <c r="M641" s="12">
        <f t="shared" si="137"/>
        <v>1</v>
      </c>
      <c r="N641" s="13"/>
    </row>
    <row r="642" spans="1:14" ht="18" customHeight="1">
      <c r="A642" s="10"/>
      <c r="B642" s="291"/>
      <c r="C642" s="302">
        <v>551</v>
      </c>
      <c r="D642" s="303" t="s">
        <v>189</v>
      </c>
      <c r="E642" s="281">
        <f t="shared" ref="E642:E649" si="140">F642+G642+H642</f>
        <v>0</v>
      </c>
      <c r="F642" s="152"/>
      <c r="G642" s="153"/>
      <c r="H642" s="1406"/>
      <c r="I642" s="152">
        <f>19238+73403</f>
        <v>92641</v>
      </c>
      <c r="J642" s="153"/>
      <c r="K642" s="1406"/>
      <c r="L642" s="281">
        <f t="shared" ref="L642:L649" si="141">I642+J642+K642</f>
        <v>92641</v>
      </c>
      <c r="M642" s="12">
        <f t="shared" si="137"/>
        <v>1</v>
      </c>
      <c r="N642" s="13"/>
    </row>
    <row r="643" spans="1:14">
      <c r="A643" s="10"/>
      <c r="B643" s="291"/>
      <c r="C643" s="304">
        <v>552</v>
      </c>
      <c r="D643" s="305" t="s">
        <v>894</v>
      </c>
      <c r="E643" s="295">
        <f t="shared" si="140"/>
        <v>0</v>
      </c>
      <c r="F643" s="158"/>
      <c r="G643" s="159"/>
      <c r="H643" s="1408"/>
      <c r="I643" s="158">
        <v>16687</v>
      </c>
      <c r="J643" s="159"/>
      <c r="K643" s="1408"/>
      <c r="L643" s="295">
        <f t="shared" si="141"/>
        <v>16687</v>
      </c>
      <c r="M643" s="12">
        <f t="shared" si="137"/>
        <v>1</v>
      </c>
      <c r="N643" s="13"/>
    </row>
    <row r="644" spans="1:14" hidden="1">
      <c r="A644" s="10"/>
      <c r="B644" s="306"/>
      <c r="C644" s="304">
        <v>558</v>
      </c>
      <c r="D644" s="307" t="s">
        <v>856</v>
      </c>
      <c r="E644" s="295">
        <f>F644+G644+H644</f>
        <v>0</v>
      </c>
      <c r="F644" s="484">
        <v>0</v>
      </c>
      <c r="G644" s="485">
        <v>0</v>
      </c>
      <c r="H644" s="160">
        <v>0</v>
      </c>
      <c r="I644" s="484">
        <v>0</v>
      </c>
      <c r="J644" s="485">
        <v>0</v>
      </c>
      <c r="K644" s="160">
        <v>0</v>
      </c>
      <c r="L644" s="295">
        <f>I644+J644+K644</f>
        <v>0</v>
      </c>
      <c r="M644" s="12" t="str">
        <f t="shared" si="137"/>
        <v/>
      </c>
      <c r="N644" s="13"/>
    </row>
    <row r="645" spans="1:14">
      <c r="A645" s="10"/>
      <c r="B645" s="306"/>
      <c r="C645" s="304">
        <v>560</v>
      </c>
      <c r="D645" s="307" t="s">
        <v>190</v>
      </c>
      <c r="E645" s="295">
        <f t="shared" si="140"/>
        <v>0</v>
      </c>
      <c r="F645" s="158"/>
      <c r="G645" s="159"/>
      <c r="H645" s="1408"/>
      <c r="I645" s="158">
        <f>5479+31358</f>
        <v>36837</v>
      </c>
      <c r="J645" s="159"/>
      <c r="K645" s="1408"/>
      <c r="L645" s="295">
        <f t="shared" si="141"/>
        <v>36837</v>
      </c>
      <c r="M645" s="12">
        <f t="shared" si="137"/>
        <v>1</v>
      </c>
      <c r="N645" s="13"/>
    </row>
    <row r="646" spans="1:14">
      <c r="A646" s="10"/>
      <c r="B646" s="306"/>
      <c r="C646" s="304">
        <v>580</v>
      </c>
      <c r="D646" s="305" t="s">
        <v>191</v>
      </c>
      <c r="E646" s="295">
        <f t="shared" si="140"/>
        <v>0</v>
      </c>
      <c r="F646" s="158"/>
      <c r="G646" s="159"/>
      <c r="H646" s="1408"/>
      <c r="I646" s="158">
        <f>5751+18117</f>
        <v>23868</v>
      </c>
      <c r="J646" s="159"/>
      <c r="K646" s="1408"/>
      <c r="L646" s="295">
        <f t="shared" si="141"/>
        <v>23868</v>
      </c>
      <c r="M646" s="12">
        <f t="shared" si="137"/>
        <v>1</v>
      </c>
      <c r="N646" s="13"/>
    </row>
    <row r="647" spans="1:14" hidden="1">
      <c r="A647" s="10"/>
      <c r="B647" s="291"/>
      <c r="C647" s="304">
        <v>588</v>
      </c>
      <c r="D647" s="305" t="s">
        <v>858</v>
      </c>
      <c r="E647" s="295">
        <f>F647+G647+H647</f>
        <v>0</v>
      </c>
      <c r="F647" s="484">
        <v>0</v>
      </c>
      <c r="G647" s="485">
        <v>0</v>
      </c>
      <c r="H647" s="160">
        <v>0</v>
      </c>
      <c r="I647" s="484">
        <v>0</v>
      </c>
      <c r="J647" s="485">
        <v>0</v>
      </c>
      <c r="K647" s="160">
        <v>0</v>
      </c>
      <c r="L647" s="295">
        <f>I647+J647+K647</f>
        <v>0</v>
      </c>
      <c r="M647" s="12" t="str">
        <f t="shared" si="137"/>
        <v/>
      </c>
      <c r="N647" s="13"/>
    </row>
    <row r="648" spans="1:14" ht="31.5" hidden="1">
      <c r="A648" s="10"/>
      <c r="B648" s="291"/>
      <c r="C648" s="308">
        <v>590</v>
      </c>
      <c r="D648" s="309" t="s">
        <v>192</v>
      </c>
      <c r="E648" s="287">
        <f t="shared" si="140"/>
        <v>0</v>
      </c>
      <c r="F648" s="173"/>
      <c r="G648" s="174"/>
      <c r="H648" s="1409"/>
      <c r="I648" s="173"/>
      <c r="J648" s="174"/>
      <c r="K648" s="1409"/>
      <c r="L648" s="287">
        <f t="shared" si="141"/>
        <v>0</v>
      </c>
      <c r="M648" s="12" t="str">
        <f t="shared" si="137"/>
        <v/>
      </c>
      <c r="N648" s="13"/>
    </row>
    <row r="649" spans="1:14" hidden="1">
      <c r="A649" s="22">
        <v>5</v>
      </c>
      <c r="B649" s="272">
        <v>800</v>
      </c>
      <c r="C649" s="1977" t="s">
        <v>193</v>
      </c>
      <c r="D649" s="1978"/>
      <c r="E649" s="310">
        <f t="shared" si="140"/>
        <v>0</v>
      </c>
      <c r="F649" s="1410"/>
      <c r="G649" s="1411"/>
      <c r="H649" s="1412"/>
      <c r="I649" s="1410"/>
      <c r="J649" s="1411"/>
      <c r="K649" s="1412"/>
      <c r="L649" s="310">
        <f t="shared" si="141"/>
        <v>0</v>
      </c>
      <c r="M649" s="12" t="str">
        <f t="shared" si="137"/>
        <v/>
      </c>
      <c r="N649" s="13"/>
    </row>
    <row r="650" spans="1:14">
      <c r="A650" s="23">
        <v>10</v>
      </c>
      <c r="B650" s="272">
        <v>1000</v>
      </c>
      <c r="C650" s="1979" t="s">
        <v>194</v>
      </c>
      <c r="D650" s="1980"/>
      <c r="E650" s="310">
        <f t="shared" ref="E650:L650" si="142">SUM(E651:E667)</f>
        <v>0</v>
      </c>
      <c r="F650" s="274">
        <f t="shared" si="142"/>
        <v>0</v>
      </c>
      <c r="G650" s="275">
        <f t="shared" si="142"/>
        <v>0</v>
      </c>
      <c r="H650" s="276">
        <f>SUM(H651:H667)</f>
        <v>0</v>
      </c>
      <c r="I650" s="274">
        <f t="shared" si="142"/>
        <v>146567</v>
      </c>
      <c r="J650" s="275">
        <f t="shared" si="142"/>
        <v>0</v>
      </c>
      <c r="K650" s="276">
        <f t="shared" si="142"/>
        <v>0</v>
      </c>
      <c r="L650" s="310">
        <f t="shared" si="142"/>
        <v>146567</v>
      </c>
      <c r="M650" s="12">
        <f t="shared" si="137"/>
        <v>1</v>
      </c>
      <c r="N650" s="13"/>
    </row>
    <row r="651" spans="1:14">
      <c r="A651" s="23">
        <v>15</v>
      </c>
      <c r="B651" s="292"/>
      <c r="C651" s="279">
        <v>1011</v>
      </c>
      <c r="D651" s="311" t="s">
        <v>195</v>
      </c>
      <c r="E651" s="281">
        <f t="shared" ref="E651:E667" si="143">F651+G651+H651</f>
        <v>0</v>
      </c>
      <c r="F651" s="152"/>
      <c r="G651" s="153"/>
      <c r="H651" s="1406"/>
      <c r="I651" s="152">
        <v>75631</v>
      </c>
      <c r="J651" s="153"/>
      <c r="K651" s="1406"/>
      <c r="L651" s="281">
        <f t="shared" ref="L651:L667" si="144">I651+J651+K651</f>
        <v>75631</v>
      </c>
      <c r="M651" s="12">
        <f t="shared" si="137"/>
        <v>1</v>
      </c>
      <c r="N651" s="13"/>
    </row>
    <row r="652" spans="1:14">
      <c r="A652" s="22">
        <v>35</v>
      </c>
      <c r="B652" s="292"/>
      <c r="C652" s="293">
        <v>1012</v>
      </c>
      <c r="D652" s="294" t="s">
        <v>196</v>
      </c>
      <c r="E652" s="295">
        <f t="shared" si="143"/>
        <v>0</v>
      </c>
      <c r="F652" s="158"/>
      <c r="G652" s="159"/>
      <c r="H652" s="1408"/>
      <c r="I652" s="158">
        <v>156</v>
      </c>
      <c r="J652" s="159"/>
      <c r="K652" s="1408"/>
      <c r="L652" s="295">
        <f t="shared" si="144"/>
        <v>156</v>
      </c>
      <c r="M652" s="12">
        <f t="shared" si="137"/>
        <v>1</v>
      </c>
      <c r="N652" s="13"/>
    </row>
    <row r="653" spans="1:14">
      <c r="A653" s="23">
        <v>40</v>
      </c>
      <c r="B653" s="292"/>
      <c r="C653" s="293">
        <v>1013</v>
      </c>
      <c r="D653" s="294" t="s">
        <v>197</v>
      </c>
      <c r="E653" s="295">
        <f t="shared" si="143"/>
        <v>0</v>
      </c>
      <c r="F653" s="158"/>
      <c r="G653" s="159"/>
      <c r="H653" s="1408"/>
      <c r="I653" s="158">
        <v>12572</v>
      </c>
      <c r="J653" s="159"/>
      <c r="K653" s="1408"/>
      <c r="L653" s="295">
        <f t="shared" si="144"/>
        <v>12572</v>
      </c>
      <c r="M653" s="12">
        <f t="shared" si="137"/>
        <v>1</v>
      </c>
      <c r="N653" s="13"/>
    </row>
    <row r="654" spans="1:14">
      <c r="A654" s="23">
        <v>45</v>
      </c>
      <c r="B654" s="292"/>
      <c r="C654" s="293">
        <v>1014</v>
      </c>
      <c r="D654" s="294" t="s">
        <v>198</v>
      </c>
      <c r="E654" s="295">
        <f t="shared" si="143"/>
        <v>0</v>
      </c>
      <c r="F654" s="158"/>
      <c r="G654" s="159"/>
      <c r="H654" s="1408"/>
      <c r="I654" s="158">
        <v>6778</v>
      </c>
      <c r="J654" s="159"/>
      <c r="K654" s="1408"/>
      <c r="L654" s="295">
        <f t="shared" si="144"/>
        <v>6778</v>
      </c>
      <c r="M654" s="12">
        <f t="shared" si="137"/>
        <v>1</v>
      </c>
      <c r="N654" s="13"/>
    </row>
    <row r="655" spans="1:14">
      <c r="A655" s="23">
        <v>50</v>
      </c>
      <c r="B655" s="292"/>
      <c r="C655" s="293">
        <v>1015</v>
      </c>
      <c r="D655" s="294" t="s">
        <v>199</v>
      </c>
      <c r="E655" s="295">
        <f t="shared" si="143"/>
        <v>0</v>
      </c>
      <c r="F655" s="158"/>
      <c r="G655" s="159"/>
      <c r="H655" s="1408"/>
      <c r="I655" s="158">
        <v>8021</v>
      </c>
      <c r="J655" s="159"/>
      <c r="K655" s="1408"/>
      <c r="L655" s="295">
        <f t="shared" si="144"/>
        <v>8021</v>
      </c>
      <c r="M655" s="12">
        <f t="shared" si="137"/>
        <v>1</v>
      </c>
      <c r="N655" s="13"/>
    </row>
    <row r="656" spans="1:14">
      <c r="A656" s="23">
        <v>55</v>
      </c>
      <c r="B656" s="292"/>
      <c r="C656" s="312">
        <v>1016</v>
      </c>
      <c r="D656" s="313" t="s">
        <v>200</v>
      </c>
      <c r="E656" s="314">
        <f t="shared" si="143"/>
        <v>0</v>
      </c>
      <c r="F656" s="164"/>
      <c r="G656" s="165"/>
      <c r="H656" s="1407"/>
      <c r="I656" s="164">
        <v>22043</v>
      </c>
      <c r="J656" s="165"/>
      <c r="K656" s="1407"/>
      <c r="L656" s="314">
        <f t="shared" si="144"/>
        <v>22043</v>
      </c>
      <c r="M656" s="12">
        <f t="shared" si="137"/>
        <v>1</v>
      </c>
      <c r="N656" s="13"/>
    </row>
    <row r="657" spans="1:14">
      <c r="A657" s="23">
        <v>60</v>
      </c>
      <c r="B657" s="278"/>
      <c r="C657" s="318">
        <v>1020</v>
      </c>
      <c r="D657" s="319" t="s">
        <v>201</v>
      </c>
      <c r="E657" s="320">
        <f t="shared" si="143"/>
        <v>0</v>
      </c>
      <c r="F657" s="450"/>
      <c r="G657" s="451"/>
      <c r="H657" s="1416"/>
      <c r="I657" s="450">
        <v>21236</v>
      </c>
      <c r="J657" s="451"/>
      <c r="K657" s="1416"/>
      <c r="L657" s="320">
        <f t="shared" si="144"/>
        <v>21236</v>
      </c>
      <c r="M657" s="12">
        <f t="shared" si="137"/>
        <v>1</v>
      </c>
      <c r="N657" s="13"/>
    </row>
    <row r="658" spans="1:14" hidden="1">
      <c r="A658" s="22">
        <v>65</v>
      </c>
      <c r="B658" s="292"/>
      <c r="C658" s="324">
        <v>1030</v>
      </c>
      <c r="D658" s="325" t="s">
        <v>202</v>
      </c>
      <c r="E658" s="326">
        <f t="shared" si="143"/>
        <v>0</v>
      </c>
      <c r="F658" s="445"/>
      <c r="G658" s="446"/>
      <c r="H658" s="1413"/>
      <c r="I658" s="445"/>
      <c r="J658" s="446"/>
      <c r="K658" s="1413"/>
      <c r="L658" s="326">
        <f t="shared" si="144"/>
        <v>0</v>
      </c>
      <c r="M658" s="12" t="str">
        <f t="shared" si="137"/>
        <v/>
      </c>
      <c r="N658" s="13"/>
    </row>
    <row r="659" spans="1:14">
      <c r="A659" s="23">
        <v>70</v>
      </c>
      <c r="B659" s="292"/>
      <c r="C659" s="318">
        <v>1051</v>
      </c>
      <c r="D659" s="331" t="s">
        <v>203</v>
      </c>
      <c r="E659" s="320">
        <f t="shared" si="143"/>
        <v>0</v>
      </c>
      <c r="F659" s="450"/>
      <c r="G659" s="451"/>
      <c r="H659" s="1416"/>
      <c r="I659" s="450">
        <v>130</v>
      </c>
      <c r="J659" s="451"/>
      <c r="K659" s="1416"/>
      <c r="L659" s="320">
        <f t="shared" si="144"/>
        <v>130</v>
      </c>
      <c r="M659" s="12">
        <f t="shared" si="137"/>
        <v>1</v>
      </c>
      <c r="N659" s="13"/>
    </row>
    <row r="660" spans="1:14" hidden="1">
      <c r="A660" s="23">
        <v>75</v>
      </c>
      <c r="B660" s="292"/>
      <c r="C660" s="293">
        <v>1052</v>
      </c>
      <c r="D660" s="294" t="s">
        <v>204</v>
      </c>
      <c r="E660" s="295">
        <f t="shared" si="143"/>
        <v>0</v>
      </c>
      <c r="F660" s="158"/>
      <c r="G660" s="159"/>
      <c r="H660" s="1408"/>
      <c r="I660" s="158"/>
      <c r="J660" s="159"/>
      <c r="K660" s="1408"/>
      <c r="L660" s="295">
        <f t="shared" si="144"/>
        <v>0</v>
      </c>
      <c r="M660" s="12" t="str">
        <f t="shared" si="137"/>
        <v/>
      </c>
      <c r="N660" s="13"/>
    </row>
    <row r="661" spans="1:14" hidden="1">
      <c r="A661" s="23">
        <v>80</v>
      </c>
      <c r="B661" s="292"/>
      <c r="C661" s="324">
        <v>1053</v>
      </c>
      <c r="D661" s="325" t="s">
        <v>859</v>
      </c>
      <c r="E661" s="326">
        <f t="shared" si="143"/>
        <v>0</v>
      </c>
      <c r="F661" s="445"/>
      <c r="G661" s="446"/>
      <c r="H661" s="1413"/>
      <c r="I661" s="445"/>
      <c r="J661" s="446"/>
      <c r="K661" s="1413"/>
      <c r="L661" s="326">
        <f t="shared" si="144"/>
        <v>0</v>
      </c>
      <c r="M661" s="12" t="str">
        <f t="shared" si="137"/>
        <v/>
      </c>
      <c r="N661" s="13"/>
    </row>
    <row r="662" spans="1:14" hidden="1">
      <c r="A662" s="23">
        <v>80</v>
      </c>
      <c r="B662" s="292"/>
      <c r="C662" s="318">
        <v>1062</v>
      </c>
      <c r="D662" s="319" t="s">
        <v>205</v>
      </c>
      <c r="E662" s="320">
        <f t="shared" si="143"/>
        <v>0</v>
      </c>
      <c r="F662" s="450"/>
      <c r="G662" s="451"/>
      <c r="H662" s="1416"/>
      <c r="I662" s="450"/>
      <c r="J662" s="451"/>
      <c r="K662" s="1416"/>
      <c r="L662" s="320">
        <f t="shared" si="144"/>
        <v>0</v>
      </c>
      <c r="M662" s="12" t="str">
        <f t="shared" si="137"/>
        <v/>
      </c>
      <c r="N662" s="13"/>
    </row>
    <row r="663" spans="1:14" hidden="1">
      <c r="A663" s="23">
        <v>85</v>
      </c>
      <c r="B663" s="292"/>
      <c r="C663" s="324">
        <v>1063</v>
      </c>
      <c r="D663" s="332" t="s">
        <v>787</v>
      </c>
      <c r="E663" s="326">
        <f t="shared" si="143"/>
        <v>0</v>
      </c>
      <c r="F663" s="445"/>
      <c r="G663" s="446"/>
      <c r="H663" s="1413"/>
      <c r="I663" s="445"/>
      <c r="J663" s="446"/>
      <c r="K663" s="1413"/>
      <c r="L663" s="326">
        <f t="shared" si="144"/>
        <v>0</v>
      </c>
      <c r="M663" s="12" t="str">
        <f t="shared" si="137"/>
        <v/>
      </c>
      <c r="N663" s="13"/>
    </row>
    <row r="664" spans="1:14" hidden="1">
      <c r="A664" s="23">
        <v>90</v>
      </c>
      <c r="B664" s="292"/>
      <c r="C664" s="333">
        <v>1069</v>
      </c>
      <c r="D664" s="334" t="s">
        <v>206</v>
      </c>
      <c r="E664" s="335">
        <f t="shared" si="143"/>
        <v>0</v>
      </c>
      <c r="F664" s="589"/>
      <c r="G664" s="590"/>
      <c r="H664" s="1415"/>
      <c r="I664" s="589"/>
      <c r="J664" s="590"/>
      <c r="K664" s="1415"/>
      <c r="L664" s="335">
        <f t="shared" si="144"/>
        <v>0</v>
      </c>
      <c r="M664" s="12" t="str">
        <f t="shared" si="137"/>
        <v/>
      </c>
      <c r="N664" s="13"/>
    </row>
    <row r="665" spans="1:14" hidden="1">
      <c r="A665" s="23">
        <v>90</v>
      </c>
      <c r="B665" s="278"/>
      <c r="C665" s="318">
        <v>1091</v>
      </c>
      <c r="D665" s="331" t="s">
        <v>895</v>
      </c>
      <c r="E665" s="320">
        <f t="shared" si="143"/>
        <v>0</v>
      </c>
      <c r="F665" s="450"/>
      <c r="G665" s="451"/>
      <c r="H665" s="1416"/>
      <c r="I665" s="450"/>
      <c r="J665" s="451"/>
      <c r="K665" s="1416"/>
      <c r="L665" s="320">
        <f t="shared" si="144"/>
        <v>0</v>
      </c>
      <c r="M665" s="12" t="str">
        <f t="shared" si="137"/>
        <v/>
      </c>
      <c r="N665" s="13"/>
    </row>
    <row r="666" spans="1:14" hidden="1">
      <c r="A666" s="22">
        <v>115</v>
      </c>
      <c r="B666" s="292"/>
      <c r="C666" s="293">
        <v>1092</v>
      </c>
      <c r="D666" s="294" t="s">
        <v>299</v>
      </c>
      <c r="E666" s="295">
        <f t="shared" si="143"/>
        <v>0</v>
      </c>
      <c r="F666" s="158"/>
      <c r="G666" s="159"/>
      <c r="H666" s="1408"/>
      <c r="I666" s="158"/>
      <c r="J666" s="159"/>
      <c r="K666" s="1408"/>
      <c r="L666" s="295">
        <f t="shared" si="144"/>
        <v>0</v>
      </c>
      <c r="M666" s="12" t="str">
        <f t="shared" si="137"/>
        <v/>
      </c>
      <c r="N666" s="13"/>
    </row>
    <row r="667" spans="1:14" hidden="1">
      <c r="A667" s="22">
        <v>125</v>
      </c>
      <c r="B667" s="292"/>
      <c r="C667" s="285">
        <v>1098</v>
      </c>
      <c r="D667" s="339" t="s">
        <v>207</v>
      </c>
      <c r="E667" s="287">
        <f t="shared" si="143"/>
        <v>0</v>
      </c>
      <c r="F667" s="173"/>
      <c r="G667" s="174"/>
      <c r="H667" s="1409"/>
      <c r="I667" s="173"/>
      <c r="J667" s="174"/>
      <c r="K667" s="1409"/>
      <c r="L667" s="287">
        <f t="shared" si="144"/>
        <v>0</v>
      </c>
      <c r="M667" s="12" t="str">
        <f t="shared" si="137"/>
        <v/>
      </c>
      <c r="N667" s="13"/>
    </row>
    <row r="668" spans="1:14" hidden="1">
      <c r="A668" s="23">
        <v>130</v>
      </c>
      <c r="B668" s="272">
        <v>1900</v>
      </c>
      <c r="C668" s="1973" t="s">
        <v>266</v>
      </c>
      <c r="D668" s="1974"/>
      <c r="E668" s="310">
        <f t="shared" ref="E668:L668" si="145">SUM(E669:E671)</f>
        <v>0</v>
      </c>
      <c r="F668" s="274">
        <f t="shared" si="145"/>
        <v>0</v>
      </c>
      <c r="G668" s="275">
        <f t="shared" si="145"/>
        <v>0</v>
      </c>
      <c r="H668" s="276">
        <f>SUM(H669:H671)</f>
        <v>0</v>
      </c>
      <c r="I668" s="274">
        <f t="shared" si="145"/>
        <v>0</v>
      </c>
      <c r="J668" s="275">
        <f t="shared" si="145"/>
        <v>0</v>
      </c>
      <c r="K668" s="276">
        <f t="shared" si="145"/>
        <v>0</v>
      </c>
      <c r="L668" s="310">
        <f t="shared" si="145"/>
        <v>0</v>
      </c>
      <c r="M668" s="12" t="str">
        <f t="shared" si="137"/>
        <v/>
      </c>
      <c r="N668" s="13"/>
    </row>
    <row r="669" spans="1:14" hidden="1">
      <c r="A669" s="23">
        <v>135</v>
      </c>
      <c r="B669" s="292"/>
      <c r="C669" s="279">
        <v>1901</v>
      </c>
      <c r="D669" s="340" t="s">
        <v>896</v>
      </c>
      <c r="E669" s="281">
        <f>F669+G669+H669</f>
        <v>0</v>
      </c>
      <c r="F669" s="152"/>
      <c r="G669" s="153"/>
      <c r="H669" s="1406"/>
      <c r="I669" s="152"/>
      <c r="J669" s="153"/>
      <c r="K669" s="1406"/>
      <c r="L669" s="281">
        <f>I669+J669+K669</f>
        <v>0</v>
      </c>
      <c r="M669" s="12" t="str">
        <f t="shared" si="137"/>
        <v/>
      </c>
      <c r="N669" s="13"/>
    </row>
    <row r="670" spans="1:14" hidden="1">
      <c r="A670" s="23">
        <v>140</v>
      </c>
      <c r="B670" s="341"/>
      <c r="C670" s="293">
        <v>1981</v>
      </c>
      <c r="D670" s="342" t="s">
        <v>897</v>
      </c>
      <c r="E670" s="295">
        <f>F670+G670+H670</f>
        <v>0</v>
      </c>
      <c r="F670" s="158"/>
      <c r="G670" s="159"/>
      <c r="H670" s="1408"/>
      <c r="I670" s="158"/>
      <c r="J670" s="159"/>
      <c r="K670" s="1408"/>
      <c r="L670" s="295">
        <f>I670+J670+K670</f>
        <v>0</v>
      </c>
      <c r="M670" s="12" t="str">
        <f t="shared" si="137"/>
        <v/>
      </c>
      <c r="N670" s="13"/>
    </row>
    <row r="671" spans="1:14" hidden="1">
      <c r="A671" s="23">
        <v>145</v>
      </c>
      <c r="B671" s="292"/>
      <c r="C671" s="285">
        <v>1991</v>
      </c>
      <c r="D671" s="343" t="s">
        <v>898</v>
      </c>
      <c r="E671" s="287">
        <f>F671+G671+H671</f>
        <v>0</v>
      </c>
      <c r="F671" s="173"/>
      <c r="G671" s="174"/>
      <c r="H671" s="1409"/>
      <c r="I671" s="173"/>
      <c r="J671" s="174"/>
      <c r="K671" s="1409"/>
      <c r="L671" s="287">
        <f>I671+J671+K671</f>
        <v>0</v>
      </c>
      <c r="M671" s="12" t="str">
        <f t="shared" si="137"/>
        <v/>
      </c>
      <c r="N671" s="13"/>
    </row>
    <row r="672" spans="1:14" hidden="1">
      <c r="A672" s="23">
        <v>150</v>
      </c>
      <c r="B672" s="272">
        <v>2100</v>
      </c>
      <c r="C672" s="1973" t="s">
        <v>708</v>
      </c>
      <c r="D672" s="1974"/>
      <c r="E672" s="310">
        <f t="shared" ref="E672:L672" si="146">SUM(E673:E677)</f>
        <v>0</v>
      </c>
      <c r="F672" s="274">
        <f t="shared" si="146"/>
        <v>0</v>
      </c>
      <c r="G672" s="275">
        <f t="shared" si="146"/>
        <v>0</v>
      </c>
      <c r="H672" s="276">
        <f>SUM(H673:H677)</f>
        <v>0</v>
      </c>
      <c r="I672" s="274">
        <f t="shared" si="146"/>
        <v>0</v>
      </c>
      <c r="J672" s="275">
        <f t="shared" si="146"/>
        <v>0</v>
      </c>
      <c r="K672" s="276">
        <f t="shared" si="146"/>
        <v>0</v>
      </c>
      <c r="L672" s="310">
        <f t="shared" si="146"/>
        <v>0</v>
      </c>
      <c r="M672" s="12" t="str">
        <f t="shared" si="137"/>
        <v/>
      </c>
      <c r="N672" s="13"/>
    </row>
    <row r="673" spans="1:14" hidden="1">
      <c r="A673" s="23">
        <v>155</v>
      </c>
      <c r="B673" s="292"/>
      <c r="C673" s="279">
        <v>2110</v>
      </c>
      <c r="D673" s="344" t="s">
        <v>208</v>
      </c>
      <c r="E673" s="281">
        <f>F673+G673+H673</f>
        <v>0</v>
      </c>
      <c r="F673" s="152"/>
      <c r="G673" s="153"/>
      <c r="H673" s="1406"/>
      <c r="I673" s="152"/>
      <c r="J673" s="153"/>
      <c r="K673" s="1406"/>
      <c r="L673" s="281">
        <f>I673+J673+K673</f>
        <v>0</v>
      </c>
      <c r="M673" s="12" t="str">
        <f t="shared" si="137"/>
        <v/>
      </c>
      <c r="N673" s="13"/>
    </row>
    <row r="674" spans="1:14" hidden="1">
      <c r="A674" s="23">
        <v>160</v>
      </c>
      <c r="B674" s="341"/>
      <c r="C674" s="293">
        <v>2120</v>
      </c>
      <c r="D674" s="300" t="s">
        <v>209</v>
      </c>
      <c r="E674" s="295">
        <f>F674+G674+H674</f>
        <v>0</v>
      </c>
      <c r="F674" s="158"/>
      <c r="G674" s="159"/>
      <c r="H674" s="1408"/>
      <c r="I674" s="158"/>
      <c r="J674" s="159"/>
      <c r="K674" s="1408"/>
      <c r="L674" s="295">
        <f>I674+J674+K674</f>
        <v>0</v>
      </c>
      <c r="M674" s="12" t="str">
        <f t="shared" si="137"/>
        <v/>
      </c>
      <c r="N674" s="13"/>
    </row>
    <row r="675" spans="1:14" hidden="1">
      <c r="A675" s="23">
        <v>165</v>
      </c>
      <c r="B675" s="341"/>
      <c r="C675" s="293">
        <v>2125</v>
      </c>
      <c r="D675" s="300" t="s">
        <v>210</v>
      </c>
      <c r="E675" s="295">
        <f>F675+G675+H675</f>
        <v>0</v>
      </c>
      <c r="F675" s="484">
        <v>0</v>
      </c>
      <c r="G675" s="485">
        <v>0</v>
      </c>
      <c r="H675" s="160">
        <v>0</v>
      </c>
      <c r="I675" s="484">
        <v>0</v>
      </c>
      <c r="J675" s="485">
        <v>0</v>
      </c>
      <c r="K675" s="160">
        <v>0</v>
      </c>
      <c r="L675" s="295">
        <f>I675+J675+K675</f>
        <v>0</v>
      </c>
      <c r="M675" s="12" t="str">
        <f t="shared" si="137"/>
        <v/>
      </c>
      <c r="N675" s="13"/>
    </row>
    <row r="676" spans="1:14" hidden="1">
      <c r="A676" s="23">
        <v>175</v>
      </c>
      <c r="B676" s="291"/>
      <c r="C676" s="293">
        <v>2140</v>
      </c>
      <c r="D676" s="300" t="s">
        <v>211</v>
      </c>
      <c r="E676" s="295">
        <f>F676+G676+H676</f>
        <v>0</v>
      </c>
      <c r="F676" s="484">
        <v>0</v>
      </c>
      <c r="G676" s="485">
        <v>0</v>
      </c>
      <c r="H676" s="160">
        <v>0</v>
      </c>
      <c r="I676" s="484">
        <v>0</v>
      </c>
      <c r="J676" s="485">
        <v>0</v>
      </c>
      <c r="K676" s="160">
        <v>0</v>
      </c>
      <c r="L676" s="295">
        <f>I676+J676+K676</f>
        <v>0</v>
      </c>
      <c r="M676" s="12" t="str">
        <f t="shared" si="137"/>
        <v/>
      </c>
      <c r="N676" s="13"/>
    </row>
    <row r="677" spans="1:14" hidden="1">
      <c r="A677" s="23">
        <v>180</v>
      </c>
      <c r="B677" s="292"/>
      <c r="C677" s="285">
        <v>2190</v>
      </c>
      <c r="D677" s="345" t="s">
        <v>212</v>
      </c>
      <c r="E677" s="287">
        <f>F677+G677+H677</f>
        <v>0</v>
      </c>
      <c r="F677" s="173"/>
      <c r="G677" s="174"/>
      <c r="H677" s="1409"/>
      <c r="I677" s="173"/>
      <c r="J677" s="174"/>
      <c r="K677" s="1409"/>
      <c r="L677" s="287">
        <f>I677+J677+K677</f>
        <v>0</v>
      </c>
      <c r="M677" s="12" t="str">
        <f t="shared" si="137"/>
        <v/>
      </c>
      <c r="N677" s="13"/>
    </row>
    <row r="678" spans="1:14" hidden="1">
      <c r="A678" s="23">
        <v>185</v>
      </c>
      <c r="B678" s="272">
        <v>2200</v>
      </c>
      <c r="C678" s="1973" t="s">
        <v>213</v>
      </c>
      <c r="D678" s="1974"/>
      <c r="E678" s="310">
        <f t="shared" ref="E678:L678" si="147">SUM(E679:E680)</f>
        <v>0</v>
      </c>
      <c r="F678" s="274">
        <f t="shared" si="147"/>
        <v>0</v>
      </c>
      <c r="G678" s="275">
        <f t="shared" si="147"/>
        <v>0</v>
      </c>
      <c r="H678" s="276">
        <f>SUM(H679:H680)</f>
        <v>0</v>
      </c>
      <c r="I678" s="274">
        <f t="shared" si="147"/>
        <v>0</v>
      </c>
      <c r="J678" s="275">
        <f t="shared" si="147"/>
        <v>0</v>
      </c>
      <c r="K678" s="276">
        <f t="shared" si="147"/>
        <v>0</v>
      </c>
      <c r="L678" s="310">
        <f t="shared" si="147"/>
        <v>0</v>
      </c>
      <c r="M678" s="12" t="str">
        <f t="shared" si="137"/>
        <v/>
      </c>
      <c r="N678" s="13"/>
    </row>
    <row r="679" spans="1:14" hidden="1">
      <c r="A679" s="23">
        <v>190</v>
      </c>
      <c r="B679" s="292"/>
      <c r="C679" s="279">
        <v>2221</v>
      </c>
      <c r="D679" s="280" t="s">
        <v>300</v>
      </c>
      <c r="E679" s="281">
        <f>F679+G679+H679</f>
        <v>0</v>
      </c>
      <c r="F679" s="152"/>
      <c r="G679" s="153"/>
      <c r="H679" s="1406"/>
      <c r="I679" s="152"/>
      <c r="J679" s="153"/>
      <c r="K679" s="1406"/>
      <c r="L679" s="281">
        <f>I679+J679+K679</f>
        <v>0</v>
      </c>
      <c r="M679" s="12" t="str">
        <f t="shared" si="137"/>
        <v/>
      </c>
      <c r="N679" s="13"/>
    </row>
    <row r="680" spans="1:14" hidden="1">
      <c r="A680" s="23">
        <v>200</v>
      </c>
      <c r="B680" s="292"/>
      <c r="C680" s="285">
        <v>2224</v>
      </c>
      <c r="D680" s="286" t="s">
        <v>214</v>
      </c>
      <c r="E680" s="287">
        <f>F680+G680+H680</f>
        <v>0</v>
      </c>
      <c r="F680" s="173"/>
      <c r="G680" s="174"/>
      <c r="H680" s="1409"/>
      <c r="I680" s="173"/>
      <c r="J680" s="174"/>
      <c r="K680" s="1409"/>
      <c r="L680" s="287">
        <f>I680+J680+K680</f>
        <v>0</v>
      </c>
      <c r="M680" s="12" t="str">
        <f t="shared" si="137"/>
        <v/>
      </c>
      <c r="N680" s="13"/>
    </row>
    <row r="681" spans="1:14" hidden="1">
      <c r="A681" s="23">
        <v>200</v>
      </c>
      <c r="B681" s="272">
        <v>2500</v>
      </c>
      <c r="C681" s="1973" t="s">
        <v>215</v>
      </c>
      <c r="D681" s="1974"/>
      <c r="E681" s="310">
        <f>F681+G681+H681</f>
        <v>0</v>
      </c>
      <c r="F681" s="1410"/>
      <c r="G681" s="1411"/>
      <c r="H681" s="1412"/>
      <c r="I681" s="1410"/>
      <c r="J681" s="1411"/>
      <c r="K681" s="1412"/>
      <c r="L681" s="310">
        <f>I681+J681+K681</f>
        <v>0</v>
      </c>
      <c r="M681" s="12" t="str">
        <f t="shared" si="137"/>
        <v/>
      </c>
      <c r="N681" s="13"/>
    </row>
    <row r="682" spans="1:14" hidden="1">
      <c r="A682" s="23">
        <v>205</v>
      </c>
      <c r="B682" s="272">
        <v>2600</v>
      </c>
      <c r="C682" s="1975" t="s">
        <v>216</v>
      </c>
      <c r="D682" s="1976"/>
      <c r="E682" s="310">
        <f>F682+G682+H682</f>
        <v>0</v>
      </c>
      <c r="F682" s="1410"/>
      <c r="G682" s="1411"/>
      <c r="H682" s="1412"/>
      <c r="I682" s="1410"/>
      <c r="J682" s="1411"/>
      <c r="K682" s="1412"/>
      <c r="L682" s="310">
        <f>I682+J682+K682</f>
        <v>0</v>
      </c>
      <c r="M682" s="12" t="str">
        <f t="shared" si="137"/>
        <v/>
      </c>
      <c r="N682" s="13"/>
    </row>
    <row r="683" spans="1:14" hidden="1">
      <c r="A683" s="23">
        <v>210</v>
      </c>
      <c r="B683" s="272">
        <v>2700</v>
      </c>
      <c r="C683" s="1975" t="s">
        <v>217</v>
      </c>
      <c r="D683" s="1976"/>
      <c r="E683" s="310">
        <f>F683+G683+H683</f>
        <v>0</v>
      </c>
      <c r="F683" s="1410"/>
      <c r="G683" s="1411"/>
      <c r="H683" s="1412"/>
      <c r="I683" s="1410"/>
      <c r="J683" s="1411"/>
      <c r="K683" s="1412"/>
      <c r="L683" s="310">
        <f>I683+J683+K683</f>
        <v>0</v>
      </c>
      <c r="M683" s="12" t="str">
        <f t="shared" si="137"/>
        <v/>
      </c>
      <c r="N683" s="13"/>
    </row>
    <row r="684" spans="1:14" ht="36" hidden="1" customHeight="1">
      <c r="A684" s="23">
        <v>215</v>
      </c>
      <c r="B684" s="272">
        <v>2800</v>
      </c>
      <c r="C684" s="1975" t="s">
        <v>1644</v>
      </c>
      <c r="D684" s="1976"/>
      <c r="E684" s="310">
        <f t="shared" ref="E684:L684" si="148">SUM(E685:E687)</f>
        <v>0</v>
      </c>
      <c r="F684" s="274">
        <f t="shared" si="148"/>
        <v>0</v>
      </c>
      <c r="G684" s="275">
        <f t="shared" si="148"/>
        <v>0</v>
      </c>
      <c r="H684" s="276">
        <f>SUM(H685:H687)</f>
        <v>0</v>
      </c>
      <c r="I684" s="274">
        <f t="shared" si="148"/>
        <v>0</v>
      </c>
      <c r="J684" s="275">
        <f t="shared" si="148"/>
        <v>0</v>
      </c>
      <c r="K684" s="276">
        <f t="shared" si="148"/>
        <v>0</v>
      </c>
      <c r="L684" s="310">
        <f t="shared" si="148"/>
        <v>0</v>
      </c>
      <c r="M684" s="12" t="str">
        <f t="shared" si="137"/>
        <v/>
      </c>
      <c r="N684" s="13"/>
    </row>
    <row r="685" spans="1:14" hidden="1">
      <c r="A685" s="22">
        <v>220</v>
      </c>
      <c r="B685" s="292"/>
      <c r="C685" s="279">
        <v>2810</v>
      </c>
      <c r="D685" s="340" t="s">
        <v>2169</v>
      </c>
      <c r="E685" s="281">
        <f>F685+G685+H685</f>
        <v>0</v>
      </c>
      <c r="F685" s="152"/>
      <c r="G685" s="153"/>
      <c r="H685" s="1406"/>
      <c r="I685" s="152"/>
      <c r="J685" s="153"/>
      <c r="K685" s="1406"/>
      <c r="L685" s="281">
        <f>I685+J685+K685</f>
        <v>0</v>
      </c>
      <c r="M685" s="12" t="str">
        <f t="shared" si="137"/>
        <v/>
      </c>
      <c r="N685" s="13"/>
    </row>
    <row r="686" spans="1:14" hidden="1">
      <c r="A686" s="23">
        <v>225</v>
      </c>
      <c r="B686" s="341"/>
      <c r="C686" s="293">
        <v>2820</v>
      </c>
      <c r="D686" s="342" t="s">
        <v>2170</v>
      </c>
      <c r="E686" s="295">
        <f>F686+G686+H686</f>
        <v>0</v>
      </c>
      <c r="F686" s="158"/>
      <c r="G686" s="159"/>
      <c r="H686" s="1408"/>
      <c r="I686" s="158"/>
      <c r="J686" s="159"/>
      <c r="K686" s="1408"/>
      <c r="L686" s="295">
        <f>I686+J686+K686</f>
        <v>0</v>
      </c>
      <c r="M686" s="12" t="str">
        <f t="shared" si="137"/>
        <v/>
      </c>
      <c r="N686" s="13"/>
    </row>
    <row r="687" spans="1:14" ht="31.5" hidden="1">
      <c r="A687" s="23">
        <v>230</v>
      </c>
      <c r="B687" s="292"/>
      <c r="C687" s="285">
        <v>2890</v>
      </c>
      <c r="D687" s="343" t="s">
        <v>2171</v>
      </c>
      <c r="E687" s="287">
        <f>F687+G687+H687</f>
        <v>0</v>
      </c>
      <c r="F687" s="173"/>
      <c r="G687" s="174"/>
      <c r="H687" s="1409"/>
      <c r="I687" s="173"/>
      <c r="J687" s="174"/>
      <c r="K687" s="1409"/>
      <c r="L687" s="287">
        <f>I687+J687+K687</f>
        <v>0</v>
      </c>
      <c r="M687" s="12" t="str">
        <f t="shared" si="137"/>
        <v/>
      </c>
      <c r="N687" s="13"/>
    </row>
    <row r="688" spans="1:14" hidden="1">
      <c r="A688" s="23">
        <v>245</v>
      </c>
      <c r="B688" s="272">
        <v>2900</v>
      </c>
      <c r="C688" s="1973" t="s">
        <v>218</v>
      </c>
      <c r="D688" s="1974"/>
      <c r="E688" s="310">
        <f>SUM(E689:E696)</f>
        <v>0</v>
      </c>
      <c r="F688" s="274">
        <f>SUM(F689:F696)</f>
        <v>0</v>
      </c>
      <c r="G688" s="274">
        <f t="shared" ref="G688:L688" si="149">SUM(G689:G696)</f>
        <v>0</v>
      </c>
      <c r="H688" s="274">
        <f t="shared" si="149"/>
        <v>0</v>
      </c>
      <c r="I688" s="274">
        <f t="shared" si="149"/>
        <v>0</v>
      </c>
      <c r="J688" s="274">
        <f t="shared" si="149"/>
        <v>0</v>
      </c>
      <c r="K688" s="274">
        <f t="shared" si="149"/>
        <v>0</v>
      </c>
      <c r="L688" s="274">
        <f t="shared" si="149"/>
        <v>0</v>
      </c>
      <c r="M688" s="12" t="str">
        <f t="shared" si="137"/>
        <v/>
      </c>
      <c r="N688" s="13"/>
    </row>
    <row r="689" spans="1:14" hidden="1">
      <c r="A689" s="22">
        <v>220</v>
      </c>
      <c r="B689" s="346"/>
      <c r="C689" s="279">
        <v>2910</v>
      </c>
      <c r="D689" s="347" t="s">
        <v>1988</v>
      </c>
      <c r="E689" s="281">
        <f>F689+G689+H689</f>
        <v>0</v>
      </c>
      <c r="F689" s="152"/>
      <c r="G689" s="153"/>
      <c r="H689" s="1406"/>
      <c r="I689" s="152"/>
      <c r="J689" s="153"/>
      <c r="K689" s="1406"/>
      <c r="L689" s="281">
        <f>I689+J689+K689</f>
        <v>0</v>
      </c>
      <c r="M689" s="12" t="str">
        <f t="shared" si="137"/>
        <v/>
      </c>
      <c r="N689" s="13"/>
    </row>
    <row r="690" spans="1:14" hidden="1">
      <c r="A690" s="23">
        <v>225</v>
      </c>
      <c r="B690" s="346"/>
      <c r="C690" s="279">
        <v>2920</v>
      </c>
      <c r="D690" s="347" t="s">
        <v>219</v>
      </c>
      <c r="E690" s="281">
        <f t="shared" ref="E690:E696" si="150">F690+G690+H690</f>
        <v>0</v>
      </c>
      <c r="F690" s="152"/>
      <c r="G690" s="153"/>
      <c r="H690" s="1406"/>
      <c r="I690" s="152"/>
      <c r="J690" s="153"/>
      <c r="K690" s="1406"/>
      <c r="L690" s="281">
        <f t="shared" ref="L690:L696" si="151">I690+J690+K690</f>
        <v>0</v>
      </c>
      <c r="M690" s="12" t="str">
        <f t="shared" si="137"/>
        <v/>
      </c>
      <c r="N690" s="13"/>
    </row>
    <row r="691" spans="1:14" ht="31.5" hidden="1">
      <c r="A691" s="23">
        <v>230</v>
      </c>
      <c r="B691" s="346"/>
      <c r="C691" s="324">
        <v>2969</v>
      </c>
      <c r="D691" s="348" t="s">
        <v>220</v>
      </c>
      <c r="E691" s="326">
        <f t="shared" si="150"/>
        <v>0</v>
      </c>
      <c r="F691" s="445"/>
      <c r="G691" s="446"/>
      <c r="H691" s="1413"/>
      <c r="I691" s="445"/>
      <c r="J691" s="446"/>
      <c r="K691" s="1413"/>
      <c r="L691" s="326">
        <f t="shared" si="151"/>
        <v>0</v>
      </c>
      <c r="M691" s="12" t="str">
        <f t="shared" si="137"/>
        <v/>
      </c>
      <c r="N691" s="13"/>
    </row>
    <row r="692" spans="1:14" ht="31.5" hidden="1">
      <c r="A692" s="23">
        <v>235</v>
      </c>
      <c r="B692" s="346"/>
      <c r="C692" s="349">
        <v>2970</v>
      </c>
      <c r="D692" s="350" t="s">
        <v>221</v>
      </c>
      <c r="E692" s="351">
        <f t="shared" si="150"/>
        <v>0</v>
      </c>
      <c r="F692" s="624"/>
      <c r="G692" s="625"/>
      <c r="H692" s="1414"/>
      <c r="I692" s="624"/>
      <c r="J692" s="625"/>
      <c r="K692" s="1414"/>
      <c r="L692" s="351">
        <f t="shared" si="151"/>
        <v>0</v>
      </c>
      <c r="M692" s="12" t="str">
        <f t="shared" si="137"/>
        <v/>
      </c>
      <c r="N692" s="13"/>
    </row>
    <row r="693" spans="1:14" hidden="1">
      <c r="A693" s="23">
        <v>240</v>
      </c>
      <c r="B693" s="346"/>
      <c r="C693" s="333">
        <v>2989</v>
      </c>
      <c r="D693" s="355" t="s">
        <v>222</v>
      </c>
      <c r="E693" s="335">
        <f t="shared" si="150"/>
        <v>0</v>
      </c>
      <c r="F693" s="589"/>
      <c r="G693" s="590"/>
      <c r="H693" s="1415"/>
      <c r="I693" s="589"/>
      <c r="J693" s="590"/>
      <c r="K693" s="1415"/>
      <c r="L693" s="335">
        <f t="shared" si="151"/>
        <v>0</v>
      </c>
      <c r="M693" s="12" t="str">
        <f t="shared" si="137"/>
        <v/>
      </c>
      <c r="N693" s="13"/>
    </row>
    <row r="694" spans="1:14" hidden="1">
      <c r="A694" s="23">
        <v>245</v>
      </c>
      <c r="B694" s="292"/>
      <c r="C694" s="318">
        <v>2990</v>
      </c>
      <c r="D694" s="356" t="s">
        <v>2007</v>
      </c>
      <c r="E694" s="320">
        <f>F694+G694+H694</f>
        <v>0</v>
      </c>
      <c r="F694" s="450"/>
      <c r="G694" s="451"/>
      <c r="H694" s="1416"/>
      <c r="I694" s="450"/>
      <c r="J694" s="451"/>
      <c r="K694" s="1416"/>
      <c r="L694" s="320">
        <f>I694+J694+K694</f>
        <v>0</v>
      </c>
      <c r="M694" s="12" t="str">
        <f t="shared" si="137"/>
        <v/>
      </c>
      <c r="N694" s="13"/>
    </row>
    <row r="695" spans="1:14" hidden="1">
      <c r="A695" s="22">
        <v>250</v>
      </c>
      <c r="B695" s="292"/>
      <c r="C695" s="318">
        <v>2991</v>
      </c>
      <c r="D695" s="356" t="s">
        <v>223</v>
      </c>
      <c r="E695" s="320">
        <f t="shared" si="150"/>
        <v>0</v>
      </c>
      <c r="F695" s="450"/>
      <c r="G695" s="451"/>
      <c r="H695" s="1416"/>
      <c r="I695" s="450"/>
      <c r="J695" s="451"/>
      <c r="K695" s="1416"/>
      <c r="L695" s="320">
        <f t="shared" si="151"/>
        <v>0</v>
      </c>
      <c r="M695" s="12" t="str">
        <f t="shared" si="137"/>
        <v/>
      </c>
      <c r="N695" s="13"/>
    </row>
    <row r="696" spans="1:14" hidden="1">
      <c r="A696" s="23">
        <v>255</v>
      </c>
      <c r="B696" s="292"/>
      <c r="C696" s="285">
        <v>2992</v>
      </c>
      <c r="D696" s="357" t="s">
        <v>224</v>
      </c>
      <c r="E696" s="287">
        <f t="shared" si="150"/>
        <v>0</v>
      </c>
      <c r="F696" s="173"/>
      <c r="G696" s="174"/>
      <c r="H696" s="1409"/>
      <c r="I696" s="173"/>
      <c r="J696" s="174"/>
      <c r="K696" s="1409"/>
      <c r="L696" s="287">
        <f t="shared" si="151"/>
        <v>0</v>
      </c>
      <c r="M696" s="12" t="str">
        <f t="shared" si="137"/>
        <v/>
      </c>
      <c r="N696" s="13"/>
    </row>
    <row r="697" spans="1:14" hidden="1">
      <c r="A697" s="23">
        <v>265</v>
      </c>
      <c r="B697" s="272">
        <v>3300</v>
      </c>
      <c r="C697" s="358" t="s">
        <v>2038</v>
      </c>
      <c r="D697" s="1834"/>
      <c r="E697" s="310">
        <f t="shared" ref="E697:L697" si="152">SUM(E698:E702)</f>
        <v>0</v>
      </c>
      <c r="F697" s="274">
        <f t="shared" si="152"/>
        <v>0</v>
      </c>
      <c r="G697" s="275">
        <f t="shared" si="152"/>
        <v>0</v>
      </c>
      <c r="H697" s="276">
        <f t="shared" si="152"/>
        <v>0</v>
      </c>
      <c r="I697" s="274">
        <f t="shared" si="152"/>
        <v>0</v>
      </c>
      <c r="J697" s="275">
        <f t="shared" si="152"/>
        <v>0</v>
      </c>
      <c r="K697" s="276">
        <f t="shared" si="152"/>
        <v>0</v>
      </c>
      <c r="L697" s="310">
        <f t="shared" si="152"/>
        <v>0</v>
      </c>
      <c r="M697" s="12" t="str">
        <f t="shared" ref="M697:M750" si="153">(IF($E697&lt;&gt;0,$M$2,IF($L697&lt;&gt;0,$M$2,"")))</f>
        <v/>
      </c>
      <c r="N697" s="13"/>
    </row>
    <row r="698" spans="1:14" hidden="1">
      <c r="A698" s="22">
        <v>270</v>
      </c>
      <c r="B698" s="291"/>
      <c r="C698" s="279">
        <v>3301</v>
      </c>
      <c r="D698" s="359" t="s">
        <v>225</v>
      </c>
      <c r="E698" s="281">
        <f t="shared" ref="E698:E705" si="154">F698+G698+H698</f>
        <v>0</v>
      </c>
      <c r="F698" s="482">
        <v>0</v>
      </c>
      <c r="G698" s="483">
        <v>0</v>
      </c>
      <c r="H698" s="154">
        <v>0</v>
      </c>
      <c r="I698" s="482">
        <v>0</v>
      </c>
      <c r="J698" s="483">
        <v>0</v>
      </c>
      <c r="K698" s="154">
        <v>0</v>
      </c>
      <c r="L698" s="281">
        <f t="shared" ref="L698:L705" si="155">I698+J698+K698</f>
        <v>0</v>
      </c>
      <c r="M698" s="12" t="str">
        <f t="shared" si="153"/>
        <v/>
      </c>
      <c r="N698" s="13"/>
    </row>
    <row r="699" spans="1:14" hidden="1">
      <c r="A699" s="22">
        <v>290</v>
      </c>
      <c r="B699" s="291"/>
      <c r="C699" s="293">
        <v>3302</v>
      </c>
      <c r="D699" s="360" t="s">
        <v>702</v>
      </c>
      <c r="E699" s="295">
        <f t="shared" si="154"/>
        <v>0</v>
      </c>
      <c r="F699" s="484">
        <v>0</v>
      </c>
      <c r="G699" s="485">
        <v>0</v>
      </c>
      <c r="H699" s="160">
        <v>0</v>
      </c>
      <c r="I699" s="484">
        <v>0</v>
      </c>
      <c r="J699" s="485">
        <v>0</v>
      </c>
      <c r="K699" s="160">
        <v>0</v>
      </c>
      <c r="L699" s="295">
        <f t="shared" si="155"/>
        <v>0</v>
      </c>
      <c r="M699" s="12" t="str">
        <f t="shared" si="153"/>
        <v/>
      </c>
      <c r="N699" s="13"/>
    </row>
    <row r="700" spans="1:14" hidden="1">
      <c r="A700" s="39">
        <v>320</v>
      </c>
      <c r="B700" s="291"/>
      <c r="C700" s="293">
        <v>3304</v>
      </c>
      <c r="D700" s="360" t="s">
        <v>226</v>
      </c>
      <c r="E700" s="295">
        <f t="shared" si="154"/>
        <v>0</v>
      </c>
      <c r="F700" s="484">
        <v>0</v>
      </c>
      <c r="G700" s="485">
        <v>0</v>
      </c>
      <c r="H700" s="160">
        <v>0</v>
      </c>
      <c r="I700" s="484">
        <v>0</v>
      </c>
      <c r="J700" s="485">
        <v>0</v>
      </c>
      <c r="K700" s="160">
        <v>0</v>
      </c>
      <c r="L700" s="295">
        <f t="shared" si="155"/>
        <v>0</v>
      </c>
      <c r="M700" s="12" t="str">
        <f t="shared" si="153"/>
        <v/>
      </c>
      <c r="N700" s="13"/>
    </row>
    <row r="701" spans="1:14" ht="47.25" hidden="1">
      <c r="A701" s="22">
        <v>330</v>
      </c>
      <c r="B701" s="291"/>
      <c r="C701" s="285">
        <v>3306</v>
      </c>
      <c r="D701" s="361" t="s">
        <v>2172</v>
      </c>
      <c r="E701" s="295">
        <f t="shared" si="154"/>
        <v>0</v>
      </c>
      <c r="F701" s="484">
        <v>0</v>
      </c>
      <c r="G701" s="485">
        <v>0</v>
      </c>
      <c r="H701" s="160">
        <v>0</v>
      </c>
      <c r="I701" s="484">
        <v>0</v>
      </c>
      <c r="J701" s="485">
        <v>0</v>
      </c>
      <c r="K701" s="160">
        <v>0</v>
      </c>
      <c r="L701" s="295">
        <f t="shared" si="155"/>
        <v>0</v>
      </c>
      <c r="M701" s="12" t="str">
        <f t="shared" si="153"/>
        <v/>
      </c>
      <c r="N701" s="13"/>
    </row>
    <row r="702" spans="1:14" hidden="1">
      <c r="A702" s="23">
        <v>225</v>
      </c>
      <c r="B702" s="291"/>
      <c r="C702" s="285">
        <v>3307</v>
      </c>
      <c r="D702" s="361" t="s">
        <v>2049</v>
      </c>
      <c r="E702" s="287">
        <f t="shared" si="154"/>
        <v>0</v>
      </c>
      <c r="F702" s="486">
        <v>0</v>
      </c>
      <c r="G702" s="487">
        <v>0</v>
      </c>
      <c r="H702" s="175">
        <v>0</v>
      </c>
      <c r="I702" s="486">
        <v>0</v>
      </c>
      <c r="J702" s="487">
        <v>0</v>
      </c>
      <c r="K702" s="175">
        <v>0</v>
      </c>
      <c r="L702" s="287">
        <f t="shared" si="155"/>
        <v>0</v>
      </c>
      <c r="M702" s="12" t="str">
        <f t="shared" si="153"/>
        <v/>
      </c>
      <c r="N702" s="13"/>
    </row>
    <row r="703" spans="1:14" hidden="1">
      <c r="A703" s="23">
        <v>230</v>
      </c>
      <c r="B703" s="272">
        <v>3900</v>
      </c>
      <c r="C703" s="1973" t="s">
        <v>227</v>
      </c>
      <c r="D703" s="1974"/>
      <c r="E703" s="310">
        <f t="shared" si="154"/>
        <v>0</v>
      </c>
      <c r="F703" s="1458">
        <v>0</v>
      </c>
      <c r="G703" s="1459">
        <v>0</v>
      </c>
      <c r="H703" s="1460">
        <v>0</v>
      </c>
      <c r="I703" s="1458">
        <v>0</v>
      </c>
      <c r="J703" s="1459">
        <v>0</v>
      </c>
      <c r="K703" s="1460">
        <v>0</v>
      </c>
      <c r="L703" s="310">
        <f t="shared" si="155"/>
        <v>0</v>
      </c>
      <c r="M703" s="12" t="str">
        <f t="shared" si="153"/>
        <v/>
      </c>
      <c r="N703" s="13"/>
    </row>
    <row r="704" spans="1:14" hidden="1">
      <c r="A704" s="23">
        <v>245</v>
      </c>
      <c r="B704" s="272">
        <v>4000</v>
      </c>
      <c r="C704" s="1973" t="s">
        <v>228</v>
      </c>
      <c r="D704" s="1974"/>
      <c r="E704" s="310">
        <f t="shared" si="154"/>
        <v>0</v>
      </c>
      <c r="F704" s="1410"/>
      <c r="G704" s="1411"/>
      <c r="H704" s="1412"/>
      <c r="I704" s="1410"/>
      <c r="J704" s="1411"/>
      <c r="K704" s="1412"/>
      <c r="L704" s="310">
        <f t="shared" si="155"/>
        <v>0</v>
      </c>
      <c r="M704" s="12" t="str">
        <f t="shared" si="153"/>
        <v/>
      </c>
      <c r="N704" s="13"/>
    </row>
    <row r="705" spans="1:14" hidden="1">
      <c r="A705" s="22">
        <v>350</v>
      </c>
      <c r="B705" s="272">
        <v>4100</v>
      </c>
      <c r="C705" s="1973" t="s">
        <v>229</v>
      </c>
      <c r="D705" s="1974"/>
      <c r="E705" s="310">
        <f t="shared" si="154"/>
        <v>0</v>
      </c>
      <c r="F705" s="1459">
        <v>0</v>
      </c>
      <c r="G705" s="1459">
        <v>0</v>
      </c>
      <c r="H705" s="1460">
        <v>0</v>
      </c>
      <c r="I705" s="1711">
        <v>0</v>
      </c>
      <c r="J705" s="1459">
        <v>0</v>
      </c>
      <c r="K705" s="1459">
        <v>0</v>
      </c>
      <c r="L705" s="310">
        <f t="shared" si="155"/>
        <v>0</v>
      </c>
      <c r="M705" s="12" t="str">
        <f t="shared" si="153"/>
        <v/>
      </c>
      <c r="N705" s="13"/>
    </row>
    <row r="706" spans="1:14" hidden="1">
      <c r="A706" s="23">
        <v>355</v>
      </c>
      <c r="B706" s="272">
        <v>4200</v>
      </c>
      <c r="C706" s="1973" t="s">
        <v>230</v>
      </c>
      <c r="D706" s="1974"/>
      <c r="E706" s="310">
        <f t="shared" ref="E706:L706" si="156">SUM(E707:E712)</f>
        <v>0</v>
      </c>
      <c r="F706" s="274">
        <f t="shared" si="156"/>
        <v>0</v>
      </c>
      <c r="G706" s="275">
        <f t="shared" si="156"/>
        <v>0</v>
      </c>
      <c r="H706" s="276">
        <f>SUM(H707:H712)</f>
        <v>0</v>
      </c>
      <c r="I706" s="274">
        <f t="shared" si="156"/>
        <v>0</v>
      </c>
      <c r="J706" s="275">
        <f t="shared" si="156"/>
        <v>0</v>
      </c>
      <c r="K706" s="276">
        <f t="shared" si="156"/>
        <v>0</v>
      </c>
      <c r="L706" s="310">
        <f t="shared" si="156"/>
        <v>0</v>
      </c>
      <c r="M706" s="12" t="str">
        <f t="shared" si="153"/>
        <v/>
      </c>
      <c r="N706" s="13"/>
    </row>
    <row r="707" spans="1:14" hidden="1">
      <c r="A707" s="23">
        <v>355</v>
      </c>
      <c r="B707" s="362"/>
      <c r="C707" s="279">
        <v>4201</v>
      </c>
      <c r="D707" s="280" t="s">
        <v>231</v>
      </c>
      <c r="E707" s="281">
        <f t="shared" ref="E707:E712" si="157">F707+G707+H707</f>
        <v>0</v>
      </c>
      <c r="F707" s="152"/>
      <c r="G707" s="153"/>
      <c r="H707" s="1406"/>
      <c r="I707" s="152"/>
      <c r="J707" s="153"/>
      <c r="K707" s="1406"/>
      <c r="L707" s="281">
        <f t="shared" ref="L707:L712" si="158">I707+J707+K707</f>
        <v>0</v>
      </c>
      <c r="M707" s="12" t="str">
        <f t="shared" si="153"/>
        <v/>
      </c>
      <c r="N707" s="13"/>
    </row>
    <row r="708" spans="1:14" hidden="1">
      <c r="A708" s="23">
        <v>375</v>
      </c>
      <c r="B708" s="362"/>
      <c r="C708" s="293">
        <v>4202</v>
      </c>
      <c r="D708" s="363" t="s">
        <v>232</v>
      </c>
      <c r="E708" s="295">
        <f t="shared" si="157"/>
        <v>0</v>
      </c>
      <c r="F708" s="158"/>
      <c r="G708" s="159"/>
      <c r="H708" s="1408"/>
      <c r="I708" s="158"/>
      <c r="J708" s="159"/>
      <c r="K708" s="1408"/>
      <c r="L708" s="295">
        <f t="shared" si="158"/>
        <v>0</v>
      </c>
      <c r="M708" s="12" t="str">
        <f t="shared" si="153"/>
        <v/>
      </c>
      <c r="N708" s="13"/>
    </row>
    <row r="709" spans="1:14" hidden="1">
      <c r="A709" s="23">
        <v>380</v>
      </c>
      <c r="B709" s="362"/>
      <c r="C709" s="293">
        <v>4214</v>
      </c>
      <c r="D709" s="363" t="s">
        <v>233</v>
      </c>
      <c r="E709" s="295">
        <f t="shared" si="157"/>
        <v>0</v>
      </c>
      <c r="F709" s="158"/>
      <c r="G709" s="159"/>
      <c r="H709" s="1408"/>
      <c r="I709" s="158"/>
      <c r="J709" s="159"/>
      <c r="K709" s="1408"/>
      <c r="L709" s="295">
        <f t="shared" si="158"/>
        <v>0</v>
      </c>
      <c r="M709" s="12" t="str">
        <f t="shared" si="153"/>
        <v/>
      </c>
      <c r="N709" s="13"/>
    </row>
    <row r="710" spans="1:14" hidden="1">
      <c r="A710" s="23">
        <v>385</v>
      </c>
      <c r="B710" s="362"/>
      <c r="C710" s="293">
        <v>4217</v>
      </c>
      <c r="D710" s="363" t="s">
        <v>234</v>
      </c>
      <c r="E710" s="295">
        <f t="shared" si="157"/>
        <v>0</v>
      </c>
      <c r="F710" s="158"/>
      <c r="G710" s="159"/>
      <c r="H710" s="1408"/>
      <c r="I710" s="158"/>
      <c r="J710" s="159"/>
      <c r="K710" s="1408"/>
      <c r="L710" s="295">
        <f t="shared" si="158"/>
        <v>0</v>
      </c>
      <c r="M710" s="12" t="str">
        <f t="shared" si="153"/>
        <v/>
      </c>
      <c r="N710" s="13"/>
    </row>
    <row r="711" spans="1:14" hidden="1">
      <c r="A711" s="23">
        <v>390</v>
      </c>
      <c r="B711" s="362"/>
      <c r="C711" s="293">
        <v>4218</v>
      </c>
      <c r="D711" s="294" t="s">
        <v>235</v>
      </c>
      <c r="E711" s="295">
        <f t="shared" si="157"/>
        <v>0</v>
      </c>
      <c r="F711" s="158"/>
      <c r="G711" s="159"/>
      <c r="H711" s="1408"/>
      <c r="I711" s="158"/>
      <c r="J711" s="159"/>
      <c r="K711" s="1408"/>
      <c r="L711" s="295">
        <f t="shared" si="158"/>
        <v>0</v>
      </c>
      <c r="M711" s="12" t="str">
        <f t="shared" si="153"/>
        <v/>
      </c>
      <c r="N711" s="13"/>
    </row>
    <row r="712" spans="1:14" hidden="1">
      <c r="A712" s="23">
        <v>390</v>
      </c>
      <c r="B712" s="362"/>
      <c r="C712" s="285">
        <v>4219</v>
      </c>
      <c r="D712" s="343" t="s">
        <v>236</v>
      </c>
      <c r="E712" s="287">
        <f t="shared" si="157"/>
        <v>0</v>
      </c>
      <c r="F712" s="173"/>
      <c r="G712" s="174"/>
      <c r="H712" s="1409"/>
      <c r="I712" s="173"/>
      <c r="J712" s="174"/>
      <c r="K712" s="1409"/>
      <c r="L712" s="287">
        <f t="shared" si="158"/>
        <v>0</v>
      </c>
      <c r="M712" s="12" t="str">
        <f t="shared" si="153"/>
        <v/>
      </c>
      <c r="N712" s="13"/>
    </row>
    <row r="713" spans="1:14" hidden="1">
      <c r="A713" s="23">
        <v>395</v>
      </c>
      <c r="B713" s="272">
        <v>4300</v>
      </c>
      <c r="C713" s="1973" t="s">
        <v>1645</v>
      </c>
      <c r="D713" s="1974"/>
      <c r="E713" s="310">
        <f t="shared" ref="E713:L713" si="159">SUM(E714:E716)</f>
        <v>0</v>
      </c>
      <c r="F713" s="274">
        <f t="shared" si="159"/>
        <v>0</v>
      </c>
      <c r="G713" s="275">
        <f t="shared" si="159"/>
        <v>0</v>
      </c>
      <c r="H713" s="276">
        <f>SUM(H714:H716)</f>
        <v>0</v>
      </c>
      <c r="I713" s="274">
        <f t="shared" si="159"/>
        <v>0</v>
      </c>
      <c r="J713" s="275">
        <f t="shared" si="159"/>
        <v>0</v>
      </c>
      <c r="K713" s="276">
        <f t="shared" si="159"/>
        <v>0</v>
      </c>
      <c r="L713" s="310">
        <f t="shared" si="159"/>
        <v>0</v>
      </c>
      <c r="M713" s="12" t="str">
        <f t="shared" si="153"/>
        <v/>
      </c>
      <c r="N713" s="13"/>
    </row>
    <row r="714" spans="1:14" hidden="1">
      <c r="A714" s="18">
        <v>397</v>
      </c>
      <c r="B714" s="362"/>
      <c r="C714" s="279">
        <v>4301</v>
      </c>
      <c r="D714" s="311" t="s">
        <v>237</v>
      </c>
      <c r="E714" s="281">
        <f t="shared" ref="E714:E719" si="160">F714+G714+H714</f>
        <v>0</v>
      </c>
      <c r="F714" s="152"/>
      <c r="G714" s="153"/>
      <c r="H714" s="1406"/>
      <c r="I714" s="152"/>
      <c r="J714" s="153"/>
      <c r="K714" s="1406"/>
      <c r="L714" s="281">
        <f t="shared" ref="L714:L719" si="161">I714+J714+K714</f>
        <v>0</v>
      </c>
      <c r="M714" s="12" t="str">
        <f t="shared" si="153"/>
        <v/>
      </c>
      <c r="N714" s="13"/>
    </row>
    <row r="715" spans="1:14" hidden="1">
      <c r="A715" s="14">
        <v>398</v>
      </c>
      <c r="B715" s="362"/>
      <c r="C715" s="293">
        <v>4302</v>
      </c>
      <c r="D715" s="363" t="s">
        <v>238</v>
      </c>
      <c r="E715" s="295">
        <f t="shared" si="160"/>
        <v>0</v>
      </c>
      <c r="F715" s="158"/>
      <c r="G715" s="159"/>
      <c r="H715" s="1408"/>
      <c r="I715" s="158"/>
      <c r="J715" s="159"/>
      <c r="K715" s="1408"/>
      <c r="L715" s="295">
        <f t="shared" si="161"/>
        <v>0</v>
      </c>
      <c r="M715" s="12" t="str">
        <f t="shared" si="153"/>
        <v/>
      </c>
      <c r="N715" s="13"/>
    </row>
    <row r="716" spans="1:14" hidden="1">
      <c r="A716" s="14">
        <v>399</v>
      </c>
      <c r="B716" s="362"/>
      <c r="C716" s="285">
        <v>4309</v>
      </c>
      <c r="D716" s="301" t="s">
        <v>239</v>
      </c>
      <c r="E716" s="287">
        <f t="shared" si="160"/>
        <v>0</v>
      </c>
      <c r="F716" s="173"/>
      <c r="G716" s="174"/>
      <c r="H716" s="1409"/>
      <c r="I716" s="173"/>
      <c r="J716" s="174"/>
      <c r="K716" s="1409"/>
      <c r="L716" s="287">
        <f t="shared" si="161"/>
        <v>0</v>
      </c>
      <c r="M716" s="12" t="str">
        <f t="shared" si="153"/>
        <v/>
      </c>
      <c r="N716" s="13"/>
    </row>
    <row r="717" spans="1:14" hidden="1">
      <c r="A717" s="14">
        <v>400</v>
      </c>
      <c r="B717" s="272">
        <v>4400</v>
      </c>
      <c r="C717" s="1973" t="s">
        <v>1642</v>
      </c>
      <c r="D717" s="1974"/>
      <c r="E717" s="310">
        <f t="shared" si="160"/>
        <v>0</v>
      </c>
      <c r="F717" s="1410"/>
      <c r="G717" s="1411"/>
      <c r="H717" s="1412"/>
      <c r="I717" s="1410"/>
      <c r="J717" s="1411"/>
      <c r="K717" s="1412"/>
      <c r="L717" s="310">
        <f t="shared" si="161"/>
        <v>0</v>
      </c>
      <c r="M717" s="12" t="str">
        <f t="shared" si="153"/>
        <v/>
      </c>
      <c r="N717" s="13"/>
    </row>
    <row r="718" spans="1:14" hidden="1">
      <c r="A718" s="14">
        <v>401</v>
      </c>
      <c r="B718" s="272">
        <v>4500</v>
      </c>
      <c r="C718" s="1973" t="s">
        <v>1643</v>
      </c>
      <c r="D718" s="1974"/>
      <c r="E718" s="310">
        <f t="shared" si="160"/>
        <v>0</v>
      </c>
      <c r="F718" s="1410"/>
      <c r="G718" s="1411"/>
      <c r="H718" s="1412"/>
      <c r="I718" s="1410"/>
      <c r="J718" s="1411"/>
      <c r="K718" s="1412"/>
      <c r="L718" s="310">
        <f t="shared" si="161"/>
        <v>0</v>
      </c>
      <c r="M718" s="12" t="str">
        <f t="shared" si="153"/>
        <v/>
      </c>
      <c r="N718" s="13"/>
    </row>
    <row r="719" spans="1:14" hidden="1">
      <c r="A719" s="40">
        <v>404</v>
      </c>
      <c r="B719" s="272">
        <v>4600</v>
      </c>
      <c r="C719" s="1975" t="s">
        <v>240</v>
      </c>
      <c r="D719" s="1976"/>
      <c r="E719" s="310">
        <f t="shared" si="160"/>
        <v>0</v>
      </c>
      <c r="F719" s="1410"/>
      <c r="G719" s="1411"/>
      <c r="H719" s="1412"/>
      <c r="I719" s="1410"/>
      <c r="J719" s="1411"/>
      <c r="K719" s="1412"/>
      <c r="L719" s="310">
        <f t="shared" si="161"/>
        <v>0</v>
      </c>
      <c r="M719" s="12" t="str">
        <f t="shared" si="153"/>
        <v/>
      </c>
      <c r="N719" s="13"/>
    </row>
    <row r="720" spans="1:14" hidden="1">
      <c r="A720" s="40">
        <v>404</v>
      </c>
      <c r="B720" s="272">
        <v>4900</v>
      </c>
      <c r="C720" s="1973" t="s">
        <v>267</v>
      </c>
      <c r="D720" s="1974"/>
      <c r="E720" s="310">
        <f t="shared" ref="E720:L720" si="162">+E721+E722</f>
        <v>0</v>
      </c>
      <c r="F720" s="274">
        <f t="shared" si="162"/>
        <v>0</v>
      </c>
      <c r="G720" s="275">
        <f t="shared" si="162"/>
        <v>0</v>
      </c>
      <c r="H720" s="276">
        <f>+H721+H722</f>
        <v>0</v>
      </c>
      <c r="I720" s="274">
        <f t="shared" si="162"/>
        <v>0</v>
      </c>
      <c r="J720" s="275">
        <f t="shared" si="162"/>
        <v>0</v>
      </c>
      <c r="K720" s="276">
        <f t="shared" si="162"/>
        <v>0</v>
      </c>
      <c r="L720" s="310">
        <f t="shared" si="162"/>
        <v>0</v>
      </c>
      <c r="M720" s="12" t="str">
        <f t="shared" si="153"/>
        <v/>
      </c>
      <c r="N720" s="13"/>
    </row>
    <row r="721" spans="1:14" hidden="1">
      <c r="A721" s="22">
        <v>440</v>
      </c>
      <c r="B721" s="362"/>
      <c r="C721" s="279">
        <v>4901</v>
      </c>
      <c r="D721" s="364" t="s">
        <v>268</v>
      </c>
      <c r="E721" s="281">
        <f>F721+G721+H721</f>
        <v>0</v>
      </c>
      <c r="F721" s="152"/>
      <c r="G721" s="153"/>
      <c r="H721" s="1406"/>
      <c r="I721" s="152"/>
      <c r="J721" s="153"/>
      <c r="K721" s="1406"/>
      <c r="L721" s="281">
        <f>I721+J721+K721</f>
        <v>0</v>
      </c>
      <c r="M721" s="12" t="str">
        <f t="shared" si="153"/>
        <v/>
      </c>
      <c r="N721" s="13"/>
    </row>
    <row r="722" spans="1:14" hidden="1">
      <c r="A722" s="22">
        <v>450</v>
      </c>
      <c r="B722" s="362"/>
      <c r="C722" s="285">
        <v>4902</v>
      </c>
      <c r="D722" s="301" t="s">
        <v>269</v>
      </c>
      <c r="E722" s="287">
        <f>F722+G722+H722</f>
        <v>0</v>
      </c>
      <c r="F722" s="173"/>
      <c r="G722" s="174"/>
      <c r="H722" s="1409"/>
      <c r="I722" s="173"/>
      <c r="J722" s="174"/>
      <c r="K722" s="1409"/>
      <c r="L722" s="287">
        <f>I722+J722+K722</f>
        <v>0</v>
      </c>
      <c r="M722" s="12" t="str">
        <f t="shared" si="153"/>
        <v/>
      </c>
      <c r="N722" s="13"/>
    </row>
    <row r="723" spans="1:14" hidden="1">
      <c r="A723" s="22">
        <v>495</v>
      </c>
      <c r="B723" s="365">
        <v>5100</v>
      </c>
      <c r="C723" s="1971" t="s">
        <v>241</v>
      </c>
      <c r="D723" s="1972"/>
      <c r="E723" s="310">
        <f>F723+G723+H723</f>
        <v>0</v>
      </c>
      <c r="F723" s="1410"/>
      <c r="G723" s="1411"/>
      <c r="H723" s="1412"/>
      <c r="I723" s="1410"/>
      <c r="J723" s="1411"/>
      <c r="K723" s="1412"/>
      <c r="L723" s="310">
        <f>I723+J723+K723</f>
        <v>0</v>
      </c>
      <c r="M723" s="12" t="str">
        <f t="shared" si="153"/>
        <v/>
      </c>
      <c r="N723" s="13"/>
    </row>
    <row r="724" spans="1:14">
      <c r="A724" s="23">
        <v>500</v>
      </c>
      <c r="B724" s="365">
        <v>5200</v>
      </c>
      <c r="C724" s="1971" t="s">
        <v>242</v>
      </c>
      <c r="D724" s="1972"/>
      <c r="E724" s="310">
        <f t="shared" ref="E724:L724" si="163">SUM(E725:E731)</f>
        <v>0</v>
      </c>
      <c r="F724" s="274">
        <f t="shared" si="163"/>
        <v>0</v>
      </c>
      <c r="G724" s="275">
        <f t="shared" si="163"/>
        <v>0</v>
      </c>
      <c r="H724" s="276">
        <f>SUM(H725:H731)</f>
        <v>0</v>
      </c>
      <c r="I724" s="274">
        <f t="shared" si="163"/>
        <v>4900</v>
      </c>
      <c r="J724" s="275">
        <f t="shared" si="163"/>
        <v>0</v>
      </c>
      <c r="K724" s="276">
        <f t="shared" si="163"/>
        <v>0</v>
      </c>
      <c r="L724" s="310">
        <f t="shared" si="163"/>
        <v>4900</v>
      </c>
      <c r="M724" s="12">
        <f t="shared" si="153"/>
        <v>1</v>
      </c>
      <c r="N724" s="13"/>
    </row>
    <row r="725" spans="1:14" hidden="1">
      <c r="A725" s="23">
        <v>505</v>
      </c>
      <c r="B725" s="366"/>
      <c r="C725" s="367">
        <v>5201</v>
      </c>
      <c r="D725" s="368" t="s">
        <v>243</v>
      </c>
      <c r="E725" s="281">
        <f t="shared" ref="E725:E731" si="164">F725+G725+H725</f>
        <v>0</v>
      </c>
      <c r="F725" s="152"/>
      <c r="G725" s="153"/>
      <c r="H725" s="1406"/>
      <c r="I725" s="152"/>
      <c r="J725" s="153"/>
      <c r="K725" s="1406"/>
      <c r="L725" s="281">
        <f t="shared" ref="L725:L731" si="165">I725+J725+K725</f>
        <v>0</v>
      </c>
      <c r="M725" s="12" t="str">
        <f t="shared" si="153"/>
        <v/>
      </c>
      <c r="N725" s="13"/>
    </row>
    <row r="726" spans="1:14" hidden="1">
      <c r="A726" s="23">
        <v>510</v>
      </c>
      <c r="B726" s="366"/>
      <c r="C726" s="369">
        <v>5202</v>
      </c>
      <c r="D726" s="370" t="s">
        <v>244</v>
      </c>
      <c r="E726" s="295">
        <f t="shared" si="164"/>
        <v>0</v>
      </c>
      <c r="F726" s="158"/>
      <c r="G726" s="159"/>
      <c r="H726" s="1408"/>
      <c r="I726" s="158"/>
      <c r="J726" s="159"/>
      <c r="K726" s="1408"/>
      <c r="L726" s="295">
        <f t="shared" si="165"/>
        <v>0</v>
      </c>
      <c r="M726" s="12" t="str">
        <f t="shared" si="153"/>
        <v/>
      </c>
      <c r="N726" s="13"/>
    </row>
    <row r="727" spans="1:14">
      <c r="A727" s="23">
        <v>515</v>
      </c>
      <c r="B727" s="366"/>
      <c r="C727" s="369">
        <v>5203</v>
      </c>
      <c r="D727" s="370" t="s">
        <v>609</v>
      </c>
      <c r="E727" s="295">
        <f t="shared" si="164"/>
        <v>0</v>
      </c>
      <c r="F727" s="158">
        <v>0</v>
      </c>
      <c r="G727" s="159"/>
      <c r="H727" s="1408"/>
      <c r="I727" s="158">
        <v>4900</v>
      </c>
      <c r="J727" s="159"/>
      <c r="K727" s="1408"/>
      <c r="L727" s="295">
        <f t="shared" si="165"/>
        <v>4900</v>
      </c>
      <c r="M727" s="12">
        <f t="shared" si="153"/>
        <v>1</v>
      </c>
      <c r="N727" s="13"/>
    </row>
    <row r="728" spans="1:14" hidden="1">
      <c r="A728" s="23">
        <v>520</v>
      </c>
      <c r="B728" s="366"/>
      <c r="C728" s="369">
        <v>5204</v>
      </c>
      <c r="D728" s="370" t="s">
        <v>610</v>
      </c>
      <c r="E728" s="295">
        <f t="shared" si="164"/>
        <v>0</v>
      </c>
      <c r="F728" s="158"/>
      <c r="G728" s="159"/>
      <c r="H728" s="1408"/>
      <c r="I728" s="158"/>
      <c r="J728" s="159"/>
      <c r="K728" s="1408"/>
      <c r="L728" s="295">
        <f t="shared" si="165"/>
        <v>0</v>
      </c>
      <c r="M728" s="12" t="str">
        <f t="shared" si="153"/>
        <v/>
      </c>
      <c r="N728" s="13"/>
    </row>
    <row r="729" spans="1:14" hidden="1">
      <c r="A729" s="23">
        <v>525</v>
      </c>
      <c r="B729" s="366"/>
      <c r="C729" s="369">
        <v>5205</v>
      </c>
      <c r="D729" s="370" t="s">
        <v>611</v>
      </c>
      <c r="E729" s="295">
        <f t="shared" si="164"/>
        <v>0</v>
      </c>
      <c r="F729" s="158"/>
      <c r="G729" s="159"/>
      <c r="H729" s="1408"/>
      <c r="I729" s="158"/>
      <c r="J729" s="159"/>
      <c r="K729" s="1408"/>
      <c r="L729" s="295">
        <f t="shared" si="165"/>
        <v>0</v>
      </c>
      <c r="M729" s="12" t="str">
        <f t="shared" si="153"/>
        <v/>
      </c>
      <c r="N729" s="13"/>
    </row>
    <row r="730" spans="1:14" hidden="1">
      <c r="A730" s="22">
        <v>635</v>
      </c>
      <c r="B730" s="366"/>
      <c r="C730" s="369">
        <v>5206</v>
      </c>
      <c r="D730" s="370" t="s">
        <v>612</v>
      </c>
      <c r="E730" s="295">
        <f t="shared" si="164"/>
        <v>0</v>
      </c>
      <c r="F730" s="158"/>
      <c r="G730" s="159"/>
      <c r="H730" s="1408"/>
      <c r="I730" s="158"/>
      <c r="J730" s="159"/>
      <c r="K730" s="1408"/>
      <c r="L730" s="295">
        <f t="shared" si="165"/>
        <v>0</v>
      </c>
      <c r="M730" s="12" t="str">
        <f t="shared" si="153"/>
        <v/>
      </c>
      <c r="N730" s="13"/>
    </row>
    <row r="731" spans="1:14" hidden="1">
      <c r="A731" s="23">
        <v>640</v>
      </c>
      <c r="B731" s="366"/>
      <c r="C731" s="371">
        <v>5219</v>
      </c>
      <c r="D731" s="372" t="s">
        <v>613</v>
      </c>
      <c r="E731" s="287">
        <f t="shared" si="164"/>
        <v>0</v>
      </c>
      <c r="F731" s="173"/>
      <c r="G731" s="174"/>
      <c r="H731" s="1409"/>
      <c r="I731" s="173"/>
      <c r="J731" s="174"/>
      <c r="K731" s="1409"/>
      <c r="L731" s="287">
        <f t="shared" si="165"/>
        <v>0</v>
      </c>
      <c r="M731" s="12" t="str">
        <f t="shared" si="153"/>
        <v/>
      </c>
      <c r="N731" s="13"/>
    </row>
    <row r="732" spans="1:14" hidden="1">
      <c r="A732" s="23">
        <v>645</v>
      </c>
      <c r="B732" s="365">
        <v>5300</v>
      </c>
      <c r="C732" s="1971" t="s">
        <v>614</v>
      </c>
      <c r="D732" s="1972"/>
      <c r="E732" s="310">
        <f t="shared" ref="E732:L732" si="166">SUM(E733:E734)</f>
        <v>0</v>
      </c>
      <c r="F732" s="274">
        <f t="shared" si="166"/>
        <v>0</v>
      </c>
      <c r="G732" s="275">
        <f t="shared" si="166"/>
        <v>0</v>
      </c>
      <c r="H732" s="276">
        <f>SUM(H733:H734)</f>
        <v>0</v>
      </c>
      <c r="I732" s="274">
        <f t="shared" si="166"/>
        <v>0</v>
      </c>
      <c r="J732" s="275">
        <f t="shared" si="166"/>
        <v>0</v>
      </c>
      <c r="K732" s="276">
        <f t="shared" si="166"/>
        <v>0</v>
      </c>
      <c r="L732" s="310">
        <f t="shared" si="166"/>
        <v>0</v>
      </c>
      <c r="M732" s="12" t="str">
        <f t="shared" si="153"/>
        <v/>
      </c>
      <c r="N732" s="13"/>
    </row>
    <row r="733" spans="1:14" hidden="1">
      <c r="A733" s="23">
        <v>650</v>
      </c>
      <c r="B733" s="366"/>
      <c r="C733" s="367">
        <v>5301</v>
      </c>
      <c r="D733" s="368" t="s">
        <v>301</v>
      </c>
      <c r="E733" s="281">
        <f>F733+G733+H733</f>
        <v>0</v>
      </c>
      <c r="F733" s="152"/>
      <c r="G733" s="153"/>
      <c r="H733" s="1406"/>
      <c r="I733" s="152"/>
      <c r="J733" s="153"/>
      <c r="K733" s="1406"/>
      <c r="L733" s="281">
        <f>I733+J733+K733</f>
        <v>0</v>
      </c>
      <c r="M733" s="12" t="str">
        <f t="shared" si="153"/>
        <v/>
      </c>
      <c r="N733" s="13"/>
    </row>
    <row r="734" spans="1:14" hidden="1">
      <c r="A734" s="22">
        <v>655</v>
      </c>
      <c r="B734" s="366"/>
      <c r="C734" s="371">
        <v>5309</v>
      </c>
      <c r="D734" s="372" t="s">
        <v>615</v>
      </c>
      <c r="E734" s="287">
        <f>F734+G734+H734</f>
        <v>0</v>
      </c>
      <c r="F734" s="173"/>
      <c r="G734" s="174"/>
      <c r="H734" s="1409"/>
      <c r="I734" s="173"/>
      <c r="J734" s="174"/>
      <c r="K734" s="1409"/>
      <c r="L734" s="287">
        <f>I734+J734+K734</f>
        <v>0</v>
      </c>
      <c r="M734" s="12" t="str">
        <f t="shared" si="153"/>
        <v/>
      </c>
      <c r="N734" s="13"/>
    </row>
    <row r="735" spans="1:14" hidden="1">
      <c r="A735" s="22">
        <v>665</v>
      </c>
      <c r="B735" s="365">
        <v>5400</v>
      </c>
      <c r="C735" s="1971" t="s">
        <v>672</v>
      </c>
      <c r="D735" s="1972"/>
      <c r="E735" s="310">
        <f>F735+G735+H735</f>
        <v>0</v>
      </c>
      <c r="F735" s="1410"/>
      <c r="G735" s="1411"/>
      <c r="H735" s="1412"/>
      <c r="I735" s="1410"/>
      <c r="J735" s="1411"/>
      <c r="K735" s="1412"/>
      <c r="L735" s="310">
        <f>I735+J735+K735</f>
        <v>0</v>
      </c>
      <c r="M735" s="12" t="str">
        <f t="shared" si="153"/>
        <v/>
      </c>
      <c r="N735" s="13"/>
    </row>
    <row r="736" spans="1:14" hidden="1">
      <c r="A736" s="22">
        <v>675</v>
      </c>
      <c r="B736" s="272">
        <v>5500</v>
      </c>
      <c r="C736" s="1973" t="s">
        <v>673</v>
      </c>
      <c r="D736" s="1974"/>
      <c r="E736" s="310">
        <f t="shared" ref="E736:L736" si="167">SUM(E737:E740)</f>
        <v>0</v>
      </c>
      <c r="F736" s="274">
        <f t="shared" si="167"/>
        <v>0</v>
      </c>
      <c r="G736" s="275">
        <f t="shared" si="167"/>
        <v>0</v>
      </c>
      <c r="H736" s="276">
        <f>SUM(H737:H740)</f>
        <v>0</v>
      </c>
      <c r="I736" s="274">
        <f t="shared" si="167"/>
        <v>0</v>
      </c>
      <c r="J736" s="275">
        <f t="shared" si="167"/>
        <v>0</v>
      </c>
      <c r="K736" s="276">
        <f t="shared" si="167"/>
        <v>0</v>
      </c>
      <c r="L736" s="310">
        <f t="shared" si="167"/>
        <v>0</v>
      </c>
      <c r="M736" s="12" t="str">
        <f t="shared" si="153"/>
        <v/>
      </c>
      <c r="N736" s="13"/>
    </row>
    <row r="737" spans="1:14" hidden="1">
      <c r="A737" s="22">
        <v>685</v>
      </c>
      <c r="B737" s="362"/>
      <c r="C737" s="279">
        <v>5501</v>
      </c>
      <c r="D737" s="311" t="s">
        <v>674</v>
      </c>
      <c r="E737" s="281">
        <f>F737+G737+H737</f>
        <v>0</v>
      </c>
      <c r="F737" s="152"/>
      <c r="G737" s="153"/>
      <c r="H737" s="1406"/>
      <c r="I737" s="152"/>
      <c r="J737" s="153"/>
      <c r="K737" s="1406"/>
      <c r="L737" s="281">
        <f>I737+J737+K737</f>
        <v>0</v>
      </c>
      <c r="M737" s="12" t="str">
        <f t="shared" si="153"/>
        <v/>
      </c>
      <c r="N737" s="13"/>
    </row>
    <row r="738" spans="1:14" hidden="1">
      <c r="A738" s="23">
        <v>690</v>
      </c>
      <c r="B738" s="362"/>
      <c r="C738" s="293">
        <v>5502</v>
      </c>
      <c r="D738" s="294" t="s">
        <v>675</v>
      </c>
      <c r="E738" s="295">
        <f>F738+G738+H738</f>
        <v>0</v>
      </c>
      <c r="F738" s="158"/>
      <c r="G738" s="159"/>
      <c r="H738" s="1408"/>
      <c r="I738" s="158"/>
      <c r="J738" s="159"/>
      <c r="K738" s="1408"/>
      <c r="L738" s="295">
        <f>I738+J738+K738</f>
        <v>0</v>
      </c>
      <c r="M738" s="12" t="str">
        <f t="shared" si="153"/>
        <v/>
      </c>
      <c r="N738" s="13"/>
    </row>
    <row r="739" spans="1:14" hidden="1">
      <c r="A739" s="23">
        <v>695</v>
      </c>
      <c r="B739" s="362"/>
      <c r="C739" s="293">
        <v>5503</v>
      </c>
      <c r="D739" s="363" t="s">
        <v>676</v>
      </c>
      <c r="E739" s="295">
        <f>F739+G739+H739</f>
        <v>0</v>
      </c>
      <c r="F739" s="158"/>
      <c r="G739" s="159"/>
      <c r="H739" s="1408"/>
      <c r="I739" s="158"/>
      <c r="J739" s="159"/>
      <c r="K739" s="1408"/>
      <c r="L739" s="295">
        <f>I739+J739+K739</f>
        <v>0</v>
      </c>
      <c r="M739" s="12" t="str">
        <f t="shared" si="153"/>
        <v/>
      </c>
      <c r="N739" s="13"/>
    </row>
    <row r="740" spans="1:14" hidden="1">
      <c r="A740" s="22">
        <v>700</v>
      </c>
      <c r="B740" s="362"/>
      <c r="C740" s="285">
        <v>5504</v>
      </c>
      <c r="D740" s="339" t="s">
        <v>677</v>
      </c>
      <c r="E740" s="287">
        <f>F740+G740+H740</f>
        <v>0</v>
      </c>
      <c r="F740" s="173"/>
      <c r="G740" s="174"/>
      <c r="H740" s="1409"/>
      <c r="I740" s="173"/>
      <c r="J740" s="174"/>
      <c r="K740" s="1409"/>
      <c r="L740" s="287">
        <f>I740+J740+K740</f>
        <v>0</v>
      </c>
      <c r="M740" s="12" t="str">
        <f t="shared" si="153"/>
        <v/>
      </c>
      <c r="N740" s="13"/>
    </row>
    <row r="741" spans="1:14" hidden="1">
      <c r="A741" s="22">
        <v>710</v>
      </c>
      <c r="B741" s="365">
        <v>5700</v>
      </c>
      <c r="C741" s="1966" t="s">
        <v>899</v>
      </c>
      <c r="D741" s="1967"/>
      <c r="E741" s="310">
        <f>SUM(E742:E744)</f>
        <v>0</v>
      </c>
      <c r="F741" s="1458">
        <v>0</v>
      </c>
      <c r="G741" s="1458">
        <v>0</v>
      </c>
      <c r="H741" s="1458">
        <v>0</v>
      </c>
      <c r="I741" s="1458">
        <v>0</v>
      </c>
      <c r="J741" s="1458">
        <v>0</v>
      </c>
      <c r="K741" s="1458">
        <v>0</v>
      </c>
      <c r="L741" s="310">
        <f>SUM(L742:L744)</f>
        <v>0</v>
      </c>
      <c r="M741" s="12" t="str">
        <f t="shared" si="153"/>
        <v/>
      </c>
      <c r="N741" s="13"/>
    </row>
    <row r="742" spans="1:14" hidden="1">
      <c r="A742" s="23">
        <v>715</v>
      </c>
      <c r="B742" s="366"/>
      <c r="C742" s="367">
        <v>5701</v>
      </c>
      <c r="D742" s="368" t="s">
        <v>678</v>
      </c>
      <c r="E742" s="281">
        <f>F742+G742+H742</f>
        <v>0</v>
      </c>
      <c r="F742" s="1459">
        <v>0</v>
      </c>
      <c r="G742" s="1459">
        <v>0</v>
      </c>
      <c r="H742" s="1460">
        <v>0</v>
      </c>
      <c r="I742" s="1711">
        <v>0</v>
      </c>
      <c r="J742" s="1459">
        <v>0</v>
      </c>
      <c r="K742" s="1459">
        <v>0</v>
      </c>
      <c r="L742" s="281">
        <f>I742+J742+K742</f>
        <v>0</v>
      </c>
      <c r="M742" s="12" t="str">
        <f t="shared" si="153"/>
        <v/>
      </c>
      <c r="N742" s="13"/>
    </row>
    <row r="743" spans="1:14" hidden="1">
      <c r="A743" s="23">
        <v>720</v>
      </c>
      <c r="B743" s="366"/>
      <c r="C743" s="373">
        <v>5702</v>
      </c>
      <c r="D743" s="374" t="s">
        <v>679</v>
      </c>
      <c r="E743" s="314">
        <f>F743+G743+H743</f>
        <v>0</v>
      </c>
      <c r="F743" s="1459">
        <v>0</v>
      </c>
      <c r="G743" s="1459">
        <v>0</v>
      </c>
      <c r="H743" s="1460">
        <v>0</v>
      </c>
      <c r="I743" s="1711">
        <v>0</v>
      </c>
      <c r="J743" s="1459">
        <v>0</v>
      </c>
      <c r="K743" s="1459">
        <v>0</v>
      </c>
      <c r="L743" s="314">
        <f>I743+J743+K743</f>
        <v>0</v>
      </c>
      <c r="M743" s="12" t="str">
        <f t="shared" si="153"/>
        <v/>
      </c>
      <c r="N743" s="13"/>
    </row>
    <row r="744" spans="1:14" hidden="1">
      <c r="A744" s="23">
        <v>725</v>
      </c>
      <c r="B744" s="292"/>
      <c r="C744" s="375">
        <v>4071</v>
      </c>
      <c r="D744" s="376" t="s">
        <v>680</v>
      </c>
      <c r="E744" s="377">
        <f>F744+G744+H744</f>
        <v>0</v>
      </c>
      <c r="F744" s="1459">
        <v>0</v>
      </c>
      <c r="G744" s="1459">
        <v>0</v>
      </c>
      <c r="H744" s="1460">
        <v>0</v>
      </c>
      <c r="I744" s="1711">
        <v>0</v>
      </c>
      <c r="J744" s="1459">
        <v>0</v>
      </c>
      <c r="K744" s="1459">
        <v>0</v>
      </c>
      <c r="L744" s="377">
        <f>I744+J744+K744</f>
        <v>0</v>
      </c>
      <c r="M744" s="12" t="str">
        <f t="shared" si="153"/>
        <v/>
      </c>
      <c r="N744" s="13"/>
    </row>
    <row r="745" spans="1:14" hidden="1">
      <c r="A745" s="23">
        <v>730</v>
      </c>
      <c r="B745" s="571"/>
      <c r="C745" s="1968" t="s">
        <v>681</v>
      </c>
      <c r="D745" s="1969"/>
      <c r="E745" s="1426"/>
      <c r="F745" s="1426"/>
      <c r="G745" s="1426"/>
      <c r="H745" s="1426"/>
      <c r="I745" s="1426"/>
      <c r="J745" s="1426"/>
      <c r="K745" s="1426"/>
      <c r="L745" s="1427"/>
      <c r="M745" s="12" t="str">
        <f t="shared" si="153"/>
        <v/>
      </c>
      <c r="N745" s="13"/>
    </row>
    <row r="746" spans="1:14" hidden="1">
      <c r="A746" s="23">
        <v>735</v>
      </c>
      <c r="B746" s="381">
        <v>98</v>
      </c>
      <c r="C746" s="1968" t="s">
        <v>681</v>
      </c>
      <c r="D746" s="1969"/>
      <c r="E746" s="382">
        <f>F746+G746+H746</f>
        <v>0</v>
      </c>
      <c r="F746" s="1417"/>
      <c r="G746" s="1418"/>
      <c r="H746" s="1419"/>
      <c r="I746" s="1448">
        <v>0</v>
      </c>
      <c r="J746" s="1449">
        <v>0</v>
      </c>
      <c r="K746" s="1450">
        <v>0</v>
      </c>
      <c r="L746" s="382">
        <f>I746+J746+K746</f>
        <v>0</v>
      </c>
      <c r="M746" s="12" t="str">
        <f t="shared" si="153"/>
        <v/>
      </c>
      <c r="N746" s="13"/>
    </row>
    <row r="747" spans="1:14" hidden="1">
      <c r="A747" s="23">
        <v>740</v>
      </c>
      <c r="B747" s="1421"/>
      <c r="C747" s="1422"/>
      <c r="D747" s="1423"/>
      <c r="E747" s="269"/>
      <c r="F747" s="269"/>
      <c r="G747" s="269"/>
      <c r="H747" s="269"/>
      <c r="I747" s="269"/>
      <c r="J747" s="269"/>
      <c r="K747" s="269"/>
      <c r="L747" s="270"/>
      <c r="M747" s="12" t="str">
        <f t="shared" si="153"/>
        <v/>
      </c>
      <c r="N747" s="73" t="str">
        <f>LEFT(C629,1)</f>
        <v>3</v>
      </c>
    </row>
    <row r="748" spans="1:14" hidden="1">
      <c r="A748" s="23">
        <v>745</v>
      </c>
      <c r="B748" s="1424"/>
      <c r="C748" s="111"/>
      <c r="D748" s="1425"/>
      <c r="E748" s="218"/>
      <c r="F748" s="218"/>
      <c r="G748" s="218"/>
      <c r="H748" s="218"/>
      <c r="I748" s="218"/>
      <c r="J748" s="218"/>
      <c r="K748" s="218"/>
      <c r="L748" s="389"/>
      <c r="M748" s="7" t="str">
        <f t="shared" si="153"/>
        <v/>
      </c>
    </row>
    <row r="749" spans="1:14" hidden="1">
      <c r="A749" s="22">
        <v>750</v>
      </c>
      <c r="B749" s="1424"/>
      <c r="C749" s="111"/>
      <c r="D749" s="1425"/>
      <c r="E749" s="218"/>
      <c r="F749" s="218"/>
      <c r="G749" s="218"/>
      <c r="H749" s="218"/>
      <c r="I749" s="218"/>
      <c r="J749" s="218"/>
      <c r="K749" s="218"/>
      <c r="L749" s="389"/>
      <c r="M749" s="7" t="str">
        <f t="shared" si="153"/>
        <v/>
      </c>
    </row>
    <row r="750" spans="1:14" ht="19.5" thickBot="1">
      <c r="A750" s="23">
        <v>755</v>
      </c>
      <c r="B750" s="1451"/>
      <c r="C750" s="393" t="s">
        <v>727</v>
      </c>
      <c r="D750" s="1420">
        <f>+B750</f>
        <v>0</v>
      </c>
      <c r="E750" s="395">
        <f t="shared" ref="E750:L750" si="168">SUM(E632,E635,E641,E649,E650,E668,E672,E678,E681,E682,E683,E684,E688,E697,E703,E704,E705,E706,E713,E717,E718,E719,E720,E723,E724,E732,E735,E736,E741)+E746</f>
        <v>0</v>
      </c>
      <c r="F750" s="396">
        <f t="shared" si="168"/>
        <v>0</v>
      </c>
      <c r="G750" s="397">
        <f t="shared" si="168"/>
        <v>0</v>
      </c>
      <c r="H750" s="398">
        <f t="shared" si="168"/>
        <v>0</v>
      </c>
      <c r="I750" s="396">
        <f t="shared" si="168"/>
        <v>1048064</v>
      </c>
      <c r="J750" s="397">
        <f t="shared" si="168"/>
        <v>0</v>
      </c>
      <c r="K750" s="398">
        <f t="shared" si="168"/>
        <v>0</v>
      </c>
      <c r="L750" s="395">
        <f t="shared" si="168"/>
        <v>1048064</v>
      </c>
      <c r="M750" s="1820">
        <f t="shared" si="153"/>
        <v>1</v>
      </c>
      <c r="N750" s="65"/>
    </row>
    <row r="751" spans="1:14" ht="19.5" thickTop="1">
      <c r="A751" s="23">
        <v>760</v>
      </c>
      <c r="B751" s="79" t="s">
        <v>120</v>
      </c>
      <c r="C751" s="1"/>
      <c r="L751" s="6"/>
      <c r="M751" s="1820">
        <f>(IF($E750&lt;&gt;0,$M$2,IF($L750&lt;&gt;0,$M$2,"")))</f>
        <v>1</v>
      </c>
      <c r="N751" s="65"/>
    </row>
    <row r="752" spans="1:14" ht="18.75">
      <c r="A752" s="22">
        <v>765</v>
      </c>
      <c r="B752" s="1355"/>
      <c r="C752" s="1355"/>
      <c r="D752" s="1356"/>
      <c r="E752" s="1355"/>
      <c r="F752" s="1355"/>
      <c r="G752" s="1355"/>
      <c r="H752" s="1355"/>
      <c r="I752" s="1355"/>
      <c r="J752" s="1355"/>
      <c r="K752" s="1355"/>
      <c r="L752" s="1357"/>
      <c r="M752" s="1820">
        <f>(IF($E750&lt;&gt;0,$M$2,IF($L750&lt;&gt;0,$M$2,"")))</f>
        <v>1</v>
      </c>
      <c r="N752" s="65"/>
    </row>
    <row r="753" spans="1:14" ht="18.75" hidden="1">
      <c r="A753" s="22">
        <v>775</v>
      </c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77"/>
      <c r="M753" s="74">
        <f>(IF(E750&lt;&gt;0,$G$2,IF(L750&lt;&gt;0,$G$2,"")))</f>
        <v>0</v>
      </c>
      <c r="N753" s="65"/>
    </row>
    <row r="754" spans="1:14" ht="18.75" hidden="1">
      <c r="A754" s="23">
        <v>780</v>
      </c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77"/>
      <c r="M754" s="74">
        <f>(IF(E750&lt;&gt;0,$G$2,IF(L750&lt;&gt;0,$G$2,"")))</f>
        <v>0</v>
      </c>
      <c r="N754" s="65"/>
    </row>
    <row r="755" spans="1:14" hidden="1">
      <c r="A755" s="23">
        <v>785</v>
      </c>
    </row>
    <row r="756" spans="1:14" hidden="1">
      <c r="A756" s="23">
        <v>790</v>
      </c>
    </row>
    <row r="757" spans="1:14" hidden="1">
      <c r="A757" s="23">
        <v>795</v>
      </c>
    </row>
    <row r="758" spans="1:14" hidden="1">
      <c r="A758" s="22">
        <v>805</v>
      </c>
    </row>
    <row r="759" spans="1:14" hidden="1">
      <c r="A759" s="23">
        <v>810</v>
      </c>
    </row>
    <row r="760" spans="1:14" hidden="1">
      <c r="A760" s="23">
        <v>815</v>
      </c>
    </row>
    <row r="761" spans="1:14" hidden="1">
      <c r="A761" s="28">
        <v>525</v>
      </c>
    </row>
    <row r="762" spans="1:14" hidden="1">
      <c r="A762" s="22">
        <v>820</v>
      </c>
    </row>
    <row r="763" spans="1:14" hidden="1">
      <c r="A763" s="23">
        <v>821</v>
      </c>
    </row>
    <row r="764" spans="1:14" hidden="1">
      <c r="A764" s="23">
        <v>822</v>
      </c>
    </row>
    <row r="765" spans="1:14" hidden="1">
      <c r="A765" s="23">
        <v>823</v>
      </c>
    </row>
    <row r="766" spans="1:14" hidden="1">
      <c r="A766" s="23">
        <v>825</v>
      </c>
    </row>
    <row r="767" spans="1:14" hidden="1">
      <c r="A767" s="23"/>
    </row>
    <row r="768" spans="1:14" hidden="1">
      <c r="A768" s="23"/>
    </row>
    <row r="769" spans="1:1" hidden="1">
      <c r="A769" s="23"/>
    </row>
    <row r="770" spans="1:1" hidden="1">
      <c r="A770" s="23"/>
    </row>
    <row r="771" spans="1:1" hidden="1">
      <c r="A771" s="23"/>
    </row>
    <row r="772" spans="1:1" hidden="1">
      <c r="A772" s="23"/>
    </row>
    <row r="773" spans="1:1" hidden="1">
      <c r="A773" s="23"/>
    </row>
    <row r="774" spans="1:1" hidden="1">
      <c r="A774" s="23"/>
    </row>
    <row r="775" spans="1:1" hidden="1">
      <c r="A775" s="23"/>
    </row>
    <row r="776" spans="1:1" hidden="1">
      <c r="A776" s="23"/>
    </row>
    <row r="777" spans="1:1" hidden="1">
      <c r="A777" s="23"/>
    </row>
    <row r="778" spans="1:1" hidden="1">
      <c r="A778" s="23"/>
    </row>
    <row r="779" spans="1:1" hidden="1">
      <c r="A779" s="23"/>
    </row>
    <row r="780" spans="1:1" hidden="1">
      <c r="A780" s="23"/>
    </row>
    <row r="781" spans="1:1" hidden="1">
      <c r="A781" s="25"/>
    </row>
    <row r="782" spans="1:1" hidden="1">
      <c r="A782" s="25">
        <v>905</v>
      </c>
    </row>
    <row r="783" spans="1:1" hidden="1">
      <c r="A783" s="25">
        <v>906</v>
      </c>
    </row>
  </sheetData>
  <sheetProtection algorithmName="SHA-512" hashValue="pHpdwFs1huSwZEXXGD6pk0Rp8K6MmL/fV8Uf7BsZPGKcJfIlDkq4y0CTpiy6SucRVDnQ9j4P3R0okZ+LPji+tw==" saltValue="oXm8qoJv6rxLfxLqWZD9/A==" spinCount="100000" sheet="1" objects="1" scenarios="1"/>
  <autoFilter ref="M1:M783">
    <filterColumn colId="0">
      <filters>
        <filter val="1"/>
      </filters>
    </filterColumn>
  </autoFilter>
  <mergeCells count="145">
    <mergeCell ref="C741:D741"/>
    <mergeCell ref="C745:D745"/>
    <mergeCell ref="C746:D746"/>
    <mergeCell ref="C718:D718"/>
    <mergeCell ref="C719:D719"/>
    <mergeCell ref="C720:D720"/>
    <mergeCell ref="C723:D723"/>
    <mergeCell ref="C724:D724"/>
    <mergeCell ref="C732:D732"/>
    <mergeCell ref="C703:D703"/>
    <mergeCell ref="C704:D704"/>
    <mergeCell ref="C705:D705"/>
    <mergeCell ref="C706:D706"/>
    <mergeCell ref="C713:D713"/>
    <mergeCell ref="C717:D717"/>
    <mergeCell ref="C735:D735"/>
    <mergeCell ref="C736:D736"/>
    <mergeCell ref="C650:D650"/>
    <mergeCell ref="C668:D668"/>
    <mergeCell ref="C672:D672"/>
    <mergeCell ref="C678:D678"/>
    <mergeCell ref="C681:D681"/>
    <mergeCell ref="C682:D682"/>
    <mergeCell ref="C683:D683"/>
    <mergeCell ref="C684:D684"/>
    <mergeCell ref="C688:D688"/>
    <mergeCell ref="B616:D616"/>
    <mergeCell ref="B618:D618"/>
    <mergeCell ref="B621:D621"/>
    <mergeCell ref="E625:H625"/>
    <mergeCell ref="I625:L625"/>
    <mergeCell ref="C632:D632"/>
    <mergeCell ref="C635:D635"/>
    <mergeCell ref="C641:D641"/>
    <mergeCell ref="C649:D649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C204:D204"/>
    <mergeCell ref="C205:D205"/>
    <mergeCell ref="C227:D227"/>
    <mergeCell ref="C261:D261"/>
    <mergeCell ref="C236:D236"/>
    <mergeCell ref="C223:D223"/>
    <mergeCell ref="C233:D233"/>
    <mergeCell ref="C190:D190"/>
    <mergeCell ref="C196:D196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C275:D275"/>
    <mergeCell ref="C278:D278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C415:D415"/>
    <mergeCell ref="C399:D399"/>
    <mergeCell ref="C405:D405"/>
    <mergeCell ref="C409:D409"/>
    <mergeCell ref="C412:D412"/>
    <mergeCell ref="C402:D402"/>
    <mergeCell ref="C539:D539"/>
    <mergeCell ref="C519:D519"/>
    <mergeCell ref="C524:D524"/>
    <mergeCell ref="C594:D594"/>
    <mergeCell ref="C544:D544"/>
    <mergeCell ref="C547:D547"/>
    <mergeCell ref="C569:D569"/>
    <mergeCell ref="C589:D589"/>
    <mergeCell ref="C534:D534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27:D427"/>
    <mergeCell ref="B438:D438"/>
    <mergeCell ref="B441:D441"/>
    <mergeCell ref="C428:D428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515:D515"/>
    <mergeCell ref="C500:D500"/>
    <mergeCell ref="C506:D506"/>
    <mergeCell ref="C538:D538"/>
  </mergeCells>
  <phoneticPr fontId="2" type="noConversion"/>
  <conditionalFormatting sqref="D450">
    <cfRule type="cellIs" dxfId="110" priority="151" stopIfTrue="1" operator="notEqual">
      <formula>0</formula>
    </cfRule>
  </conditionalFormatting>
  <conditionalFormatting sqref="D601">
    <cfRule type="cellIs" dxfId="109" priority="150" stopIfTrue="1" operator="notEqual">
      <formula>0</formula>
    </cfRule>
  </conditionalFormatting>
  <conditionalFormatting sqref="E15">
    <cfRule type="cellIs" dxfId="108" priority="144" stopIfTrue="1" operator="equal">
      <formula>98</formula>
    </cfRule>
    <cfRule type="cellIs" dxfId="107" priority="146" stopIfTrue="1" operator="equal">
      <formula>96</formula>
    </cfRule>
    <cfRule type="cellIs" dxfId="106" priority="147" stopIfTrue="1" operator="equal">
      <formula>42</formula>
    </cfRule>
    <cfRule type="cellIs" dxfId="105" priority="148" stopIfTrue="1" operator="equal">
      <formula>97</formula>
    </cfRule>
    <cfRule type="cellIs" dxfId="104" priority="149" stopIfTrue="1" operator="equal">
      <formula>33</formula>
    </cfRule>
  </conditionalFormatting>
  <conditionalFormatting sqref="F15">
    <cfRule type="cellIs" dxfId="103" priority="140" stopIfTrue="1" operator="equal">
      <formula>"ЧУЖДИ СРЕДСТВА"</formula>
    </cfRule>
    <cfRule type="cellIs" dxfId="102" priority="141" stopIfTrue="1" operator="equal">
      <formula>"СЕС - ДМП"</formula>
    </cfRule>
    <cfRule type="cellIs" dxfId="101" priority="142" stopIfTrue="1" operator="equal">
      <formula>"СЕС - РА"</formula>
    </cfRule>
    <cfRule type="cellIs" dxfId="100" priority="143" stopIfTrue="1" operator="equal">
      <formula>"СЕС - ДЕС"</formula>
    </cfRule>
    <cfRule type="cellIs" dxfId="99" priority="145" stopIfTrue="1" operator="equal">
      <formula>"СЕС - КСФ"</formula>
    </cfRule>
  </conditionalFormatting>
  <conditionalFormatting sqref="F179">
    <cfRule type="cellIs" dxfId="98" priority="128" stopIfTrue="1" operator="equal">
      <formula>0</formula>
    </cfRule>
  </conditionalFormatting>
  <conditionalFormatting sqref="E181">
    <cfRule type="cellIs" dxfId="97" priority="123" stopIfTrue="1" operator="equal">
      <formula>98</formula>
    </cfRule>
    <cfRule type="cellIs" dxfId="96" priority="124" stopIfTrue="1" operator="equal">
      <formula>96</formula>
    </cfRule>
    <cfRule type="cellIs" dxfId="95" priority="125" stopIfTrue="1" operator="equal">
      <formula>42</formula>
    </cfRule>
    <cfRule type="cellIs" dxfId="94" priority="126" stopIfTrue="1" operator="equal">
      <formula>97</formula>
    </cfRule>
    <cfRule type="cellIs" dxfId="93" priority="127" stopIfTrue="1" operator="equal">
      <formula>33</formula>
    </cfRule>
  </conditionalFormatting>
  <conditionalFormatting sqref="F181">
    <cfRule type="cellIs" dxfId="92" priority="118" stopIfTrue="1" operator="equal">
      <formula>"ЧУЖДИ СРЕДСТВА"</formula>
    </cfRule>
    <cfRule type="cellIs" dxfId="91" priority="119" stopIfTrue="1" operator="equal">
      <formula>"СЕС - ДМП"</formula>
    </cfRule>
    <cfRule type="cellIs" dxfId="90" priority="120" stopIfTrue="1" operator="equal">
      <formula>"СЕС - РА"</formula>
    </cfRule>
    <cfRule type="cellIs" dxfId="89" priority="121" stopIfTrue="1" operator="equal">
      <formula>"СЕС - ДЕС"</formula>
    </cfRule>
    <cfRule type="cellIs" dxfId="88" priority="122" stopIfTrue="1" operator="equal">
      <formula>"СЕС - КСФ"</formula>
    </cfRule>
  </conditionalFormatting>
  <conditionalFormatting sqref="F356">
    <cfRule type="cellIs" dxfId="87" priority="117" stopIfTrue="1" operator="equal">
      <formula>0</formula>
    </cfRule>
  </conditionalFormatting>
  <conditionalFormatting sqref="E358">
    <cfRule type="cellIs" dxfId="86" priority="112" stopIfTrue="1" operator="equal">
      <formula>98</formula>
    </cfRule>
    <cfRule type="cellIs" dxfId="85" priority="113" stopIfTrue="1" operator="equal">
      <formula>96</formula>
    </cfRule>
    <cfRule type="cellIs" dxfId="84" priority="114" stopIfTrue="1" operator="equal">
      <formula>42</formula>
    </cfRule>
    <cfRule type="cellIs" dxfId="83" priority="115" stopIfTrue="1" operator="equal">
      <formula>97</formula>
    </cfRule>
    <cfRule type="cellIs" dxfId="82" priority="116" stopIfTrue="1" operator="equal">
      <formula>33</formula>
    </cfRule>
  </conditionalFormatting>
  <conditionalFormatting sqref="F358">
    <cfRule type="cellIs" dxfId="81" priority="107" stopIfTrue="1" operator="equal">
      <formula>"ЧУЖДИ СРЕДСТВА"</formula>
    </cfRule>
    <cfRule type="cellIs" dxfId="80" priority="108" stopIfTrue="1" operator="equal">
      <formula>"СЕС - ДМП"</formula>
    </cfRule>
    <cfRule type="cellIs" dxfId="79" priority="109" stopIfTrue="1" operator="equal">
      <formula>"СЕС - РА"</formula>
    </cfRule>
    <cfRule type="cellIs" dxfId="78" priority="110" stopIfTrue="1" operator="equal">
      <formula>"СЕС - ДЕС"</formula>
    </cfRule>
    <cfRule type="cellIs" dxfId="77" priority="111" stopIfTrue="1" operator="equal">
      <formula>"СЕС - КСФ"</formula>
    </cfRule>
  </conditionalFormatting>
  <conditionalFormatting sqref="F441">
    <cfRule type="cellIs" dxfId="76" priority="106" stopIfTrue="1" operator="equal">
      <formula>0</formula>
    </cfRule>
  </conditionalFormatting>
  <conditionalFormatting sqref="E443">
    <cfRule type="cellIs" dxfId="75" priority="101" stopIfTrue="1" operator="equal">
      <formula>98</formula>
    </cfRule>
    <cfRule type="cellIs" dxfId="74" priority="102" stopIfTrue="1" operator="equal">
      <formula>96</formula>
    </cfRule>
    <cfRule type="cellIs" dxfId="73" priority="103" stopIfTrue="1" operator="equal">
      <formula>42</formula>
    </cfRule>
    <cfRule type="cellIs" dxfId="72" priority="104" stopIfTrue="1" operator="equal">
      <formula>97</formula>
    </cfRule>
    <cfRule type="cellIs" dxfId="71" priority="105" stopIfTrue="1" operator="equal">
      <formula>33</formula>
    </cfRule>
  </conditionalFormatting>
  <conditionalFormatting sqref="F443">
    <cfRule type="cellIs" dxfId="70" priority="96" stopIfTrue="1" operator="equal">
      <formula>"ЧУЖДИ СРЕДСТВА"</formula>
    </cfRule>
    <cfRule type="cellIs" dxfId="69" priority="97" stopIfTrue="1" operator="equal">
      <formula>"СЕС - ДМП"</formula>
    </cfRule>
    <cfRule type="cellIs" dxfId="68" priority="98" stopIfTrue="1" operator="equal">
      <formula>"СЕС - РА"</formula>
    </cfRule>
    <cfRule type="cellIs" dxfId="67" priority="99" stopIfTrue="1" operator="equal">
      <formula>"СЕС - ДЕС"</formula>
    </cfRule>
    <cfRule type="cellIs" dxfId="66" priority="100" stopIfTrue="1" operator="equal">
      <formula>"СЕС - КСФ"</formula>
    </cfRule>
  </conditionalFormatting>
  <conditionalFormatting sqref="E450">
    <cfRule type="cellIs" dxfId="65" priority="95" stopIfTrue="1" operator="notEqual">
      <formula>0</formula>
    </cfRule>
  </conditionalFormatting>
  <conditionalFormatting sqref="F450">
    <cfRule type="cellIs" dxfId="64" priority="94" stopIfTrue="1" operator="notEqual">
      <formula>0</formula>
    </cfRule>
  </conditionalFormatting>
  <conditionalFormatting sqref="G450">
    <cfRule type="cellIs" dxfId="63" priority="93" stopIfTrue="1" operator="notEqual">
      <formula>0</formula>
    </cfRule>
  </conditionalFormatting>
  <conditionalFormatting sqref="H450">
    <cfRule type="cellIs" dxfId="62" priority="92" stopIfTrue="1" operator="notEqual">
      <formula>0</formula>
    </cfRule>
  </conditionalFormatting>
  <conditionalFormatting sqref="I450">
    <cfRule type="cellIs" dxfId="61" priority="91" stopIfTrue="1" operator="notEqual">
      <formula>0</formula>
    </cfRule>
  </conditionalFormatting>
  <conditionalFormatting sqref="J450">
    <cfRule type="cellIs" dxfId="60" priority="90" stopIfTrue="1" operator="notEqual">
      <formula>0</formula>
    </cfRule>
  </conditionalFormatting>
  <conditionalFormatting sqref="K450">
    <cfRule type="cellIs" dxfId="59" priority="89" stopIfTrue="1" operator="notEqual">
      <formula>0</formula>
    </cfRule>
  </conditionalFormatting>
  <conditionalFormatting sqref="L450">
    <cfRule type="cellIs" dxfId="58" priority="88" stopIfTrue="1" operator="notEqual">
      <formula>0</formula>
    </cfRule>
  </conditionalFormatting>
  <conditionalFormatting sqref="E601">
    <cfRule type="cellIs" dxfId="57" priority="87" stopIfTrue="1" operator="notEqual">
      <formula>0</formula>
    </cfRule>
  </conditionalFormatting>
  <conditionalFormatting sqref="F601:G601">
    <cfRule type="cellIs" dxfId="56" priority="86" stopIfTrue="1" operator="notEqual">
      <formula>0</formula>
    </cfRule>
  </conditionalFormatting>
  <conditionalFormatting sqref="H601">
    <cfRule type="cellIs" dxfId="55" priority="85" stopIfTrue="1" operator="notEqual">
      <formula>0</formula>
    </cfRule>
  </conditionalFormatting>
  <conditionalFormatting sqref="I601">
    <cfRule type="cellIs" dxfId="54" priority="84" stopIfTrue="1" operator="notEqual">
      <formula>0</formula>
    </cfRule>
  </conditionalFormatting>
  <conditionalFormatting sqref="J601:K601">
    <cfRule type="cellIs" dxfId="53" priority="83" stopIfTrue="1" operator="notEqual">
      <formula>0</formula>
    </cfRule>
  </conditionalFormatting>
  <conditionalFormatting sqref="L601">
    <cfRule type="cellIs" dxfId="52" priority="82" stopIfTrue="1" operator="notEqual">
      <formula>0</formula>
    </cfRule>
  </conditionalFormatting>
  <conditionalFormatting sqref="F457">
    <cfRule type="cellIs" dxfId="51" priority="80" stopIfTrue="1" operator="equal">
      <formula>0</formula>
    </cfRule>
  </conditionalFormatting>
  <conditionalFormatting sqref="E459">
    <cfRule type="cellIs" dxfId="50" priority="75" stopIfTrue="1" operator="equal">
      <formula>98</formula>
    </cfRule>
    <cfRule type="cellIs" dxfId="49" priority="76" stopIfTrue="1" operator="equal">
      <formula>96</formula>
    </cfRule>
    <cfRule type="cellIs" dxfId="48" priority="77" stopIfTrue="1" operator="equal">
      <formula>42</formula>
    </cfRule>
    <cfRule type="cellIs" dxfId="47" priority="78" stopIfTrue="1" operator="equal">
      <formula>97</formula>
    </cfRule>
    <cfRule type="cellIs" dxfId="46" priority="79" stopIfTrue="1" operator="equal">
      <formula>33</formula>
    </cfRule>
  </conditionalFormatting>
  <conditionalFormatting sqref="F459">
    <cfRule type="cellIs" dxfId="45" priority="70" stopIfTrue="1" operator="equal">
      <formula>"ЧУЖДИ СРЕДСТВА"</formula>
    </cfRule>
    <cfRule type="cellIs" dxfId="44" priority="71" stopIfTrue="1" operator="equal">
      <formula>"СЕС - ДМП"</formula>
    </cfRule>
    <cfRule type="cellIs" dxfId="43" priority="72" stopIfTrue="1" operator="equal">
      <formula>"СЕС - РА"</formula>
    </cfRule>
    <cfRule type="cellIs" dxfId="42" priority="73" stopIfTrue="1" operator="equal">
      <formula>"СЕС - ДЕС"</formula>
    </cfRule>
    <cfRule type="cellIs" dxfId="41" priority="74" stopIfTrue="1" operator="equal">
      <formula>"СЕС - КСФ"</formula>
    </cfRule>
  </conditionalFormatting>
  <conditionalFormatting sqref="I9:J9">
    <cfRule type="cellIs" dxfId="40" priority="65" stopIfTrue="1" operator="between">
      <formula>1000000000000</formula>
      <formula>9999999999999990</formula>
    </cfRule>
    <cfRule type="cellIs" dxfId="39" priority="66" stopIfTrue="1" operator="between">
      <formula>10000000000</formula>
      <formula>999999999999</formula>
    </cfRule>
    <cfRule type="cellIs" dxfId="38" priority="67" stopIfTrue="1" operator="between">
      <formula>1000000</formula>
      <formula>99999999</formula>
    </cfRule>
    <cfRule type="cellIs" dxfId="37" priority="68" stopIfTrue="1" operator="between">
      <formula>100</formula>
      <formula>9900</formula>
    </cfRule>
  </conditionalFormatting>
  <conditionalFormatting sqref="G168">
    <cfRule type="cellIs" dxfId="36" priority="62" stopIfTrue="1" operator="greaterThan">
      <formula>$G$25</formula>
    </cfRule>
  </conditionalFormatting>
  <conditionalFormatting sqref="J168">
    <cfRule type="cellIs" dxfId="35" priority="61" stopIfTrue="1" operator="greaterThan">
      <formula>$J$25</formula>
    </cfRule>
  </conditionalFormatting>
  <conditionalFormatting sqref="F621">
    <cfRule type="cellIs" dxfId="34" priority="15" stopIfTrue="1" operator="equal">
      <formula>0</formula>
    </cfRule>
  </conditionalFormatting>
  <conditionalFormatting sqref="E623">
    <cfRule type="cellIs" dxfId="33" priority="10" stopIfTrue="1" operator="equal">
      <formula>98</formula>
    </cfRule>
    <cfRule type="cellIs" dxfId="32" priority="11" stopIfTrue="1" operator="equal">
      <formula>96</formula>
    </cfRule>
    <cfRule type="cellIs" dxfId="31" priority="12" stopIfTrue="1" operator="equal">
      <formula>42</formula>
    </cfRule>
    <cfRule type="cellIs" dxfId="30" priority="13" stopIfTrue="1" operator="equal">
      <formula>97</formula>
    </cfRule>
    <cfRule type="cellIs" dxfId="29" priority="14" stopIfTrue="1" operator="equal">
      <formula>33</formula>
    </cfRule>
  </conditionalFormatting>
  <conditionalFormatting sqref="F623">
    <cfRule type="cellIs" dxfId="28" priority="5" stopIfTrue="1" operator="equal">
      <formula>"ЧУЖДИ СРЕДСТВА"</formula>
    </cfRule>
    <cfRule type="cellIs" dxfId="27" priority="6" stopIfTrue="1" operator="equal">
      <formula>"СЕС - ДМП"</formula>
    </cfRule>
    <cfRule type="cellIs" dxfId="26" priority="7" stopIfTrue="1" operator="equal">
      <formula>"СЕС - РА"</formula>
    </cfRule>
    <cfRule type="cellIs" dxfId="25" priority="8" stopIfTrue="1" operator="equal">
      <formula>"СЕС - ДЕС"</formula>
    </cfRule>
    <cfRule type="cellIs" dxfId="24" priority="9" stopIfTrue="1" operator="equal">
      <formula>"СЕС - КСФ"</formula>
    </cfRule>
  </conditionalFormatting>
  <conditionalFormatting sqref="D630">
    <cfRule type="cellIs" dxfId="23" priority="4" stopIfTrue="1" operator="notEqual">
      <formula>"ИЗБЕРЕТЕ ДЕЙНОСТ"</formula>
    </cfRule>
  </conditionalFormatting>
  <conditionalFormatting sqref="D750">
    <cfRule type="cellIs" dxfId="22" priority="3" stopIfTrue="1" operator="equal">
      <formula>0</formula>
    </cfRule>
  </conditionalFormatting>
  <conditionalFormatting sqref="C630">
    <cfRule type="cellIs" dxfId="21" priority="2" stopIfTrue="1" operator="notEqual">
      <formula>0</formula>
    </cfRule>
  </conditionalFormatting>
  <conditionalFormatting sqref="C628">
    <cfRule type="cellIs" dxfId="20" priority="1" stopIfTrue="1" operator="notEqual">
      <formula>0</formula>
    </cfRule>
  </conditionalFormatting>
  <dataValidations count="12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 F685:K686 F636:K640 F669:K671 F651:K667 F633:K634 F694:K696 F642:K649 F733:K735 F725:K731 F721:K723 F714:K719 F707:K712 F746:K746 F673:K676 F689:K692 F698:K705 F737:K744 F679:K683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 E632:E750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 F687:K687 F677:K677 F693:K6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F590:G591 I590:J591">
      <formula1>0</formula1>
    </dataValidation>
    <dataValidation type="list" allowBlank="1" showDropDown="1" showInputMessage="1" showErrorMessage="1" prompt="Използва се само  за финансово-правна форма СЕС-КСФ (код 98)_x000a_" sqref="D628">
      <formula1>OP_LIST</formula1>
    </dataValidation>
    <dataValidation type="list" allowBlank="1" showInputMessage="1" showErrorMessage="1" promptTitle="ВЪВЕДЕТЕ ДЕЙНОСТ" sqref="D630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790575</xdr:colOff>
                    <xdr:row>2</xdr:row>
                    <xdr:rowOff>28575</xdr:rowOff>
                  </from>
                  <to>
                    <xdr:col>6</xdr:col>
                    <xdr:colOff>600075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28575</xdr:rowOff>
                  </from>
                  <to>
                    <xdr:col>3</xdr:col>
                    <xdr:colOff>3457575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6"/>
  <sheetViews>
    <sheetView showGridLines="0" topLeftCell="B2" zoomScale="80" zoomScaleNormal="80" workbookViewId="0">
      <selection activeCell="F8" sqref="F8"/>
    </sheetView>
  </sheetViews>
  <sheetFormatPr defaultColWidth="8.85546875" defaultRowHeight="15.75"/>
  <cols>
    <col min="1" max="1" width="6.5703125" style="1714" hidden="1" customWidth="1"/>
    <col min="2" max="2" width="55.42578125" style="1714" customWidth="1"/>
    <col min="3" max="10" width="20.7109375" style="1714" customWidth="1"/>
    <col min="11" max="11" width="30.7109375" style="1714" hidden="1" customWidth="1"/>
    <col min="12" max="12" width="39.5703125" style="1714" hidden="1" customWidth="1"/>
    <col min="13" max="16384" width="8.85546875" style="1714"/>
  </cols>
  <sheetData>
    <row r="1" spans="1:12" hidden="1">
      <c r="A1" s="1714">
        <v>1</v>
      </c>
    </row>
    <row r="2" spans="1:12" ht="18.75">
      <c r="A2" s="1715"/>
      <c r="B2" s="1716" t="s">
        <v>2057</v>
      </c>
      <c r="C2" s="1717" t="e">
        <f>+OTCHET!B12</f>
        <v>#N/A</v>
      </c>
      <c r="D2" s="1827" t="s">
        <v>2183</v>
      </c>
      <c r="E2" s="1827"/>
      <c r="F2" s="1828"/>
      <c r="G2" s="1828"/>
      <c r="H2" s="1828"/>
      <c r="I2" s="1828"/>
      <c r="J2" s="1828"/>
    </row>
    <row r="3" spans="1:12" ht="18.75">
      <c r="A3" s="1715"/>
      <c r="B3" s="1716" t="s">
        <v>2058</v>
      </c>
      <c r="C3" s="1718" t="str">
        <f>+OTCHET!F12</f>
        <v>1201341</v>
      </c>
      <c r="D3" s="1827" t="s">
        <v>2184</v>
      </c>
      <c r="E3" s="1827"/>
      <c r="F3" s="1828"/>
      <c r="G3" s="1828"/>
      <c r="H3" s="1828"/>
      <c r="I3" s="1828"/>
      <c r="J3" s="1828"/>
    </row>
    <row r="4" spans="1:12" ht="63">
      <c r="B4" s="1719" t="s">
        <v>2178</v>
      </c>
      <c r="C4" s="1720">
        <f>+OTCHET!F9</f>
        <v>46022</v>
      </c>
      <c r="D4" s="1829"/>
      <c r="E4" s="1830"/>
      <c r="F4" s="1830"/>
      <c r="G4" s="1830"/>
      <c r="H4" s="1830"/>
      <c r="I4" s="1830"/>
      <c r="J4" s="1830"/>
    </row>
    <row r="5" spans="1:12" ht="19.5" customHeight="1" thickBot="1">
      <c r="C5" s="1721" t="str">
        <f>+IF(C35=0,"","НЕРАВНЕНИЕ!")</f>
        <v/>
      </c>
      <c r="D5" s="1721" t="str">
        <f>+IF(D35=0,"","НЕРАВНЕНИЕ!")</f>
        <v/>
      </c>
      <c r="E5" s="1721" t="str">
        <f>+IF(E35=0,"","НЕРАВНЕНИЕ!")</f>
        <v/>
      </c>
      <c r="F5" s="1721" t="str">
        <f>+IF(F35=0,"","НЕРАВНЕНИЕ!")</f>
        <v/>
      </c>
      <c r="G5" s="1721"/>
      <c r="H5" s="1721"/>
      <c r="I5" s="1721" t="str">
        <f>+IF(I35=0,"","НЕРАВНЕНИЕ!")</f>
        <v/>
      </c>
      <c r="J5" s="1721" t="str">
        <f>+IF(J35=0,"","НЕРАВНЕНИЕ!")</f>
        <v/>
      </c>
      <c r="K5" s="1721"/>
      <c r="L5" s="1768" t="s">
        <v>459</v>
      </c>
    </row>
    <row r="6" spans="1:12" ht="16.5" customHeight="1">
      <c r="B6" s="2025" t="s">
        <v>2176</v>
      </c>
      <c r="C6" s="2023" t="s">
        <v>2059</v>
      </c>
      <c r="D6" s="1722" t="s">
        <v>2060</v>
      </c>
      <c r="E6" s="2023" t="s">
        <v>2061</v>
      </c>
      <c r="F6" s="1723" t="s">
        <v>2060</v>
      </c>
      <c r="G6" s="2023" t="s">
        <v>2179</v>
      </c>
      <c r="H6" s="1723" t="s">
        <v>2060</v>
      </c>
      <c r="I6" s="2023" t="s">
        <v>2062</v>
      </c>
      <c r="J6" s="1722" t="s">
        <v>2060</v>
      </c>
      <c r="K6" s="2023" t="s">
        <v>2128</v>
      </c>
      <c r="L6" s="2021" t="s">
        <v>2129</v>
      </c>
    </row>
    <row r="7" spans="1:12" ht="32.25" thickBot="1">
      <c r="B7" s="2026"/>
      <c r="C7" s="2024"/>
      <c r="D7" s="1724" t="s">
        <v>2063</v>
      </c>
      <c r="E7" s="2024"/>
      <c r="F7" s="1725" t="s">
        <v>2063</v>
      </c>
      <c r="G7" s="2024"/>
      <c r="H7" s="1725" t="s">
        <v>2063</v>
      </c>
      <c r="I7" s="2024"/>
      <c r="J7" s="1724" t="s">
        <v>2063</v>
      </c>
      <c r="K7" s="2024"/>
      <c r="L7" s="2022"/>
    </row>
    <row r="8" spans="1:12" ht="33.75" customHeight="1">
      <c r="A8" s="1714">
        <v>999</v>
      </c>
      <c r="B8" s="1726" t="s">
        <v>2064</v>
      </c>
      <c r="C8" s="1727">
        <f>(OTCHET!I576+OTCHET!I577+OTCHET!I578+OTCHET!I579+OTCHET!I580+OTCHET!I581+OTCHET!I582+OTCHET!I592+OTCHET!I593)*(-1)</f>
        <v>0</v>
      </c>
      <c r="D8" s="1728">
        <f>(OTCHET!I578+OTCHET!I579+OTCHET!I593)*(-1)</f>
        <v>0</v>
      </c>
      <c r="E8" s="1727">
        <f>(OTCHET!J576+OTCHET!J577+OTCHET!J578+OTCHET!J579+OTCHET!J580+OTCHET!J581+OTCHET!J582+OTCHET!J592+OTCHET!J593)*(-1)</f>
        <v>0</v>
      </c>
      <c r="F8" s="1729">
        <f>(OTCHET!J578+OTCHET!J579+OTCHET!J593)*(-1)</f>
        <v>0</v>
      </c>
      <c r="G8" s="1821">
        <v>0</v>
      </c>
      <c r="H8" s="1822">
        <v>0</v>
      </c>
      <c r="I8" s="1727">
        <f t="shared" ref="I8:I33" si="0">+C8+E8</f>
        <v>0</v>
      </c>
      <c r="J8" s="1728">
        <f t="shared" ref="J8:J33" si="1">+D8+F8</f>
        <v>0</v>
      </c>
      <c r="K8" s="1769" t="s">
        <v>2130</v>
      </c>
      <c r="L8" s="1770" t="s">
        <v>2130</v>
      </c>
    </row>
    <row r="9" spans="1:12" ht="27" customHeight="1">
      <c r="A9" s="1714">
        <v>1000</v>
      </c>
      <c r="B9" s="1730" t="s">
        <v>2065</v>
      </c>
      <c r="C9" s="1731">
        <f t="shared" ref="C9:H9" si="2">+C10+C12</f>
        <v>0</v>
      </c>
      <c r="D9" s="1732">
        <f t="shared" si="2"/>
        <v>0</v>
      </c>
      <c r="E9" s="1731">
        <f t="shared" si="2"/>
        <v>0</v>
      </c>
      <c r="F9" s="1733">
        <f t="shared" si="2"/>
        <v>0</v>
      </c>
      <c r="G9" s="1823">
        <f t="shared" si="2"/>
        <v>0</v>
      </c>
      <c r="H9" s="1824">
        <f t="shared" si="2"/>
        <v>0</v>
      </c>
      <c r="I9" s="1731">
        <f t="shared" si="0"/>
        <v>0</v>
      </c>
      <c r="J9" s="1732">
        <f t="shared" si="1"/>
        <v>0</v>
      </c>
      <c r="K9" s="1771" t="s">
        <v>2130</v>
      </c>
      <c r="L9" s="1772" t="s">
        <v>2130</v>
      </c>
    </row>
    <row r="10" spans="1:12">
      <c r="A10" s="1714">
        <v>1100</v>
      </c>
      <c r="B10" s="845" t="s">
        <v>2159</v>
      </c>
      <c r="C10" s="1734"/>
      <c r="D10" s="1735"/>
      <c r="E10" s="1734"/>
      <c r="F10" s="1735"/>
      <c r="G10" s="1832">
        <v>0</v>
      </c>
      <c r="H10" s="1833">
        <v>0</v>
      </c>
      <c r="I10" s="1736">
        <f t="shared" si="0"/>
        <v>0</v>
      </c>
      <c r="J10" s="1737">
        <f t="shared" si="1"/>
        <v>0</v>
      </c>
      <c r="K10" s="1773"/>
      <c r="L10" s="1774"/>
    </row>
    <row r="11" spans="1:12">
      <c r="A11" s="1714">
        <v>1200</v>
      </c>
      <c r="B11" s="1777" t="s">
        <v>2066</v>
      </c>
      <c r="C11" s="1734"/>
      <c r="D11" s="1735"/>
      <c r="E11" s="1734"/>
      <c r="F11" s="1735"/>
      <c r="G11" s="1832">
        <v>0</v>
      </c>
      <c r="H11" s="1833">
        <v>0</v>
      </c>
      <c r="I11" s="1738">
        <f t="shared" si="0"/>
        <v>0</v>
      </c>
      <c r="J11" s="1739">
        <f t="shared" si="1"/>
        <v>0</v>
      </c>
      <c r="K11" s="1773"/>
      <c r="L11" s="1774"/>
    </row>
    <row r="12" spans="1:12">
      <c r="A12" s="1714">
        <v>1210</v>
      </c>
      <c r="B12" s="1759" t="s">
        <v>2160</v>
      </c>
      <c r="C12" s="1734"/>
      <c r="D12" s="1735"/>
      <c r="E12" s="1734"/>
      <c r="F12" s="1735"/>
      <c r="G12" s="1832">
        <v>0</v>
      </c>
      <c r="H12" s="1833">
        <v>0</v>
      </c>
      <c r="I12" s="1738">
        <f t="shared" si="0"/>
        <v>0</v>
      </c>
      <c r="J12" s="1739">
        <f t="shared" si="1"/>
        <v>0</v>
      </c>
      <c r="K12" s="1773"/>
      <c r="L12" s="1774"/>
    </row>
    <row r="13" spans="1:12" ht="47.25">
      <c r="A13" s="1714">
        <v>2000</v>
      </c>
      <c r="B13" s="1730" t="s">
        <v>2067</v>
      </c>
      <c r="C13" s="1731">
        <f t="shared" ref="C13:H13" si="3">+C14+C16+C17+C18+C15</f>
        <v>0</v>
      </c>
      <c r="D13" s="1732">
        <f t="shared" si="3"/>
        <v>0</v>
      </c>
      <c r="E13" s="1731">
        <f t="shared" si="3"/>
        <v>0</v>
      </c>
      <c r="F13" s="1733">
        <f t="shared" si="3"/>
        <v>0</v>
      </c>
      <c r="G13" s="1823">
        <f t="shared" si="3"/>
        <v>0</v>
      </c>
      <c r="H13" s="1824">
        <f t="shared" si="3"/>
        <v>0</v>
      </c>
      <c r="I13" s="1731">
        <f t="shared" si="0"/>
        <v>0</v>
      </c>
      <c r="J13" s="1732">
        <f t="shared" si="1"/>
        <v>0</v>
      </c>
      <c r="K13" s="1771" t="s">
        <v>2130</v>
      </c>
      <c r="L13" s="1772" t="s">
        <v>2130</v>
      </c>
    </row>
    <row r="14" spans="1:12" ht="31.5">
      <c r="A14" s="1714">
        <v>2100</v>
      </c>
      <c r="B14" s="1760" t="s">
        <v>2068</v>
      </c>
      <c r="C14" s="1734"/>
      <c r="D14" s="1735"/>
      <c r="E14" s="1734"/>
      <c r="F14" s="1735"/>
      <c r="G14" s="1832">
        <v>0</v>
      </c>
      <c r="H14" s="1833">
        <v>0</v>
      </c>
      <c r="I14" s="1736">
        <f t="shared" si="0"/>
        <v>0</v>
      </c>
      <c r="J14" s="1737">
        <f t="shared" si="1"/>
        <v>0</v>
      </c>
      <c r="K14" s="1773"/>
      <c r="L14" s="1774"/>
    </row>
    <row r="15" spans="1:12">
      <c r="A15" s="1714">
        <v>2200</v>
      </c>
      <c r="B15" s="1761" t="s">
        <v>2069</v>
      </c>
      <c r="C15" s="1734"/>
      <c r="D15" s="1735"/>
      <c r="E15" s="1734"/>
      <c r="F15" s="1735"/>
      <c r="G15" s="1832">
        <v>0</v>
      </c>
      <c r="H15" s="1833">
        <v>0</v>
      </c>
      <c r="I15" s="1738">
        <f t="shared" si="0"/>
        <v>0</v>
      </c>
      <c r="J15" s="1739">
        <f t="shared" si="1"/>
        <v>0</v>
      </c>
      <c r="K15" s="1773"/>
      <c r="L15" s="1774"/>
    </row>
    <row r="16" spans="1:12">
      <c r="A16" s="1714">
        <v>2300</v>
      </c>
      <c r="B16" s="1761" t="s">
        <v>2070</v>
      </c>
      <c r="C16" s="1734"/>
      <c r="D16" s="1735"/>
      <c r="E16" s="1734"/>
      <c r="F16" s="1735"/>
      <c r="G16" s="1832">
        <v>0</v>
      </c>
      <c r="H16" s="1833">
        <v>0</v>
      </c>
      <c r="I16" s="1738">
        <f t="shared" si="0"/>
        <v>0</v>
      </c>
      <c r="J16" s="1739">
        <f t="shared" si="1"/>
        <v>0</v>
      </c>
      <c r="K16" s="1773"/>
      <c r="L16" s="1774"/>
    </row>
    <row r="17" spans="1:12">
      <c r="A17" s="1714">
        <v>2400</v>
      </c>
      <c r="B17" s="1761" t="s">
        <v>2071</v>
      </c>
      <c r="C17" s="1734"/>
      <c r="D17" s="1735"/>
      <c r="E17" s="1734"/>
      <c r="F17" s="1735"/>
      <c r="G17" s="1832">
        <v>0</v>
      </c>
      <c r="H17" s="1833">
        <v>0</v>
      </c>
      <c r="I17" s="1738">
        <f t="shared" si="0"/>
        <v>0</v>
      </c>
      <c r="J17" s="1739">
        <f t="shared" si="1"/>
        <v>0</v>
      </c>
      <c r="K17" s="1773"/>
      <c r="L17" s="1774"/>
    </row>
    <row r="18" spans="1:12">
      <c r="A18" s="1714">
        <v>2500</v>
      </c>
      <c r="B18" s="1762" t="s">
        <v>2072</v>
      </c>
      <c r="C18" s="1734"/>
      <c r="D18" s="1735"/>
      <c r="E18" s="1734"/>
      <c r="F18" s="1735"/>
      <c r="G18" s="1832">
        <v>0</v>
      </c>
      <c r="H18" s="1833">
        <v>0</v>
      </c>
      <c r="I18" s="1740">
        <f t="shared" si="0"/>
        <v>0</v>
      </c>
      <c r="J18" s="1741">
        <f t="shared" si="1"/>
        <v>0</v>
      </c>
      <c r="K18" s="1773"/>
      <c r="L18" s="1774"/>
    </row>
    <row r="19" spans="1:12" ht="48" customHeight="1">
      <c r="A19" s="1714">
        <v>3000</v>
      </c>
      <c r="B19" s="1778" t="s">
        <v>2161</v>
      </c>
      <c r="C19" s="1734"/>
      <c r="D19" s="1735"/>
      <c r="E19" s="1734"/>
      <c r="F19" s="1735"/>
      <c r="G19" s="1832">
        <v>0</v>
      </c>
      <c r="H19" s="1833">
        <v>0</v>
      </c>
      <c r="I19" s="1731">
        <f t="shared" si="0"/>
        <v>0</v>
      </c>
      <c r="J19" s="1732">
        <f t="shared" si="1"/>
        <v>0</v>
      </c>
      <c r="K19" s="1773"/>
      <c r="L19" s="1774"/>
    </row>
    <row r="20" spans="1:12" ht="37.5" customHeight="1">
      <c r="A20" s="1714">
        <v>4000</v>
      </c>
      <c r="B20" s="1763" t="s">
        <v>2073</v>
      </c>
      <c r="C20" s="1734"/>
      <c r="D20" s="1735"/>
      <c r="E20" s="1734"/>
      <c r="F20" s="1735"/>
      <c r="G20" s="1832">
        <v>0</v>
      </c>
      <c r="H20" s="1833">
        <v>0</v>
      </c>
      <c r="I20" s="1731">
        <f t="shared" si="0"/>
        <v>0</v>
      </c>
      <c r="J20" s="1732">
        <f t="shared" si="1"/>
        <v>0</v>
      </c>
      <c r="K20" s="1773"/>
      <c r="L20" s="1774"/>
    </row>
    <row r="21" spans="1:12" ht="32.25" customHeight="1">
      <c r="A21" s="1714">
        <v>5000</v>
      </c>
      <c r="B21" s="1763" t="s">
        <v>2074</v>
      </c>
      <c r="C21" s="1734"/>
      <c r="D21" s="1735"/>
      <c r="E21" s="1734"/>
      <c r="F21" s="1735"/>
      <c r="G21" s="1832">
        <v>0</v>
      </c>
      <c r="H21" s="1833">
        <v>0</v>
      </c>
      <c r="I21" s="1731">
        <f t="shared" si="0"/>
        <v>0</v>
      </c>
      <c r="J21" s="1732">
        <f t="shared" si="1"/>
        <v>0</v>
      </c>
      <c r="K21" s="1773"/>
      <c r="L21" s="1774"/>
    </row>
    <row r="22" spans="1:12" ht="87.75" customHeight="1">
      <c r="A22" s="1714">
        <v>6000</v>
      </c>
      <c r="B22" s="1763" t="s">
        <v>2162</v>
      </c>
      <c r="C22" s="1734"/>
      <c r="D22" s="1735"/>
      <c r="E22" s="1734"/>
      <c r="F22" s="1735"/>
      <c r="G22" s="1832">
        <v>0</v>
      </c>
      <c r="H22" s="1833">
        <v>0</v>
      </c>
      <c r="I22" s="1731">
        <f t="shared" si="0"/>
        <v>0</v>
      </c>
      <c r="J22" s="1732">
        <f t="shared" si="1"/>
        <v>0</v>
      </c>
      <c r="K22" s="1773"/>
      <c r="L22" s="1774"/>
    </row>
    <row r="23" spans="1:12" ht="49.5" customHeight="1">
      <c r="A23" s="1714">
        <v>7000</v>
      </c>
      <c r="B23" s="1763" t="s">
        <v>2177</v>
      </c>
      <c r="C23" s="1734"/>
      <c r="D23" s="1735"/>
      <c r="E23" s="1734"/>
      <c r="F23" s="1735"/>
      <c r="G23" s="1832">
        <v>0</v>
      </c>
      <c r="H23" s="1833">
        <v>0</v>
      </c>
      <c r="I23" s="1731">
        <f t="shared" si="0"/>
        <v>0</v>
      </c>
      <c r="J23" s="1732">
        <f t="shared" si="1"/>
        <v>0</v>
      </c>
      <c r="K23" s="1773"/>
      <c r="L23" s="1774"/>
    </row>
    <row r="24" spans="1:12" ht="19.149999999999999" customHeight="1">
      <c r="A24" s="1714">
        <v>8000</v>
      </c>
      <c r="B24" s="1730" t="s">
        <v>2163</v>
      </c>
      <c r="C24" s="1731">
        <f t="shared" ref="C24:H24" si="4">+C25+C26+C32</f>
        <v>0</v>
      </c>
      <c r="D24" s="1732">
        <f t="shared" si="4"/>
        <v>0</v>
      </c>
      <c r="E24" s="1731">
        <f t="shared" si="4"/>
        <v>0</v>
      </c>
      <c r="F24" s="1733">
        <f t="shared" si="4"/>
        <v>0</v>
      </c>
      <c r="G24" s="1823">
        <f t="shared" si="4"/>
        <v>0</v>
      </c>
      <c r="H24" s="1824">
        <f t="shared" si="4"/>
        <v>0</v>
      </c>
      <c r="I24" s="1731">
        <f t="shared" si="0"/>
        <v>0</v>
      </c>
      <c r="J24" s="1732">
        <f t="shared" si="1"/>
        <v>0</v>
      </c>
      <c r="K24" s="1771" t="s">
        <v>2130</v>
      </c>
      <c r="L24" s="1772" t="s">
        <v>2130</v>
      </c>
    </row>
    <row r="25" spans="1:12" ht="29.25" customHeight="1">
      <c r="A25" s="1714">
        <v>8100</v>
      </c>
      <c r="B25" s="1764" t="s">
        <v>2075</v>
      </c>
      <c r="C25" s="1734"/>
      <c r="D25" s="1735"/>
      <c r="E25" s="1734"/>
      <c r="F25" s="1735"/>
      <c r="G25" s="1832">
        <v>0</v>
      </c>
      <c r="H25" s="1833">
        <v>0</v>
      </c>
      <c r="I25" s="1742">
        <f t="shared" si="0"/>
        <v>0</v>
      </c>
      <c r="J25" s="1743">
        <f t="shared" si="1"/>
        <v>0</v>
      </c>
      <c r="K25" s="1773"/>
      <c r="L25" s="1774"/>
    </row>
    <row r="26" spans="1:12" ht="35.25" customHeight="1">
      <c r="A26" s="1714">
        <v>8200</v>
      </c>
      <c r="B26" s="1744" t="s">
        <v>2076</v>
      </c>
      <c r="C26" s="1731">
        <f t="shared" ref="C26:H26" si="5">+C27+C28+C29+C30+C31</f>
        <v>0</v>
      </c>
      <c r="D26" s="1732">
        <f t="shared" si="5"/>
        <v>0</v>
      </c>
      <c r="E26" s="1731">
        <f t="shared" si="5"/>
        <v>0</v>
      </c>
      <c r="F26" s="1733">
        <f t="shared" si="5"/>
        <v>0</v>
      </c>
      <c r="G26" s="1823">
        <f t="shared" si="5"/>
        <v>0</v>
      </c>
      <c r="H26" s="1824">
        <f t="shared" si="5"/>
        <v>0</v>
      </c>
      <c r="I26" s="1731">
        <f t="shared" si="0"/>
        <v>0</v>
      </c>
      <c r="J26" s="1732">
        <f t="shared" si="1"/>
        <v>0</v>
      </c>
      <c r="K26" s="1771" t="s">
        <v>2130</v>
      </c>
      <c r="L26" s="1772" t="s">
        <v>2130</v>
      </c>
    </row>
    <row r="27" spans="1:12" ht="30.75" customHeight="1">
      <c r="A27" s="1714">
        <v>8210</v>
      </c>
      <c r="B27" s="1765" t="s">
        <v>2077</v>
      </c>
      <c r="C27" s="1734"/>
      <c r="D27" s="1735"/>
      <c r="E27" s="1734"/>
      <c r="F27" s="1735"/>
      <c r="G27" s="1832">
        <v>0</v>
      </c>
      <c r="H27" s="1833">
        <v>0</v>
      </c>
      <c r="I27" s="1745">
        <f t="shared" si="0"/>
        <v>0</v>
      </c>
      <c r="J27" s="1746">
        <f t="shared" si="1"/>
        <v>0</v>
      </c>
      <c r="K27" s="1773"/>
      <c r="L27" s="1774"/>
    </row>
    <row r="28" spans="1:12">
      <c r="A28" s="1714">
        <v>8220</v>
      </c>
      <c r="B28" s="1761" t="s">
        <v>2078</v>
      </c>
      <c r="C28" s="1734"/>
      <c r="D28" s="1735"/>
      <c r="E28" s="1734"/>
      <c r="F28" s="1735"/>
      <c r="G28" s="1832">
        <v>0</v>
      </c>
      <c r="H28" s="1833">
        <v>0</v>
      </c>
      <c r="I28" s="1747">
        <f t="shared" si="0"/>
        <v>0</v>
      </c>
      <c r="J28" s="1748">
        <f t="shared" si="1"/>
        <v>0</v>
      </c>
      <c r="K28" s="1773"/>
      <c r="L28" s="1774"/>
    </row>
    <row r="29" spans="1:12" ht="30.75" customHeight="1">
      <c r="A29" s="1714">
        <v>8230</v>
      </c>
      <c r="B29" s="1761" t="s">
        <v>2079</v>
      </c>
      <c r="C29" s="1734"/>
      <c r="D29" s="1735"/>
      <c r="E29" s="1734"/>
      <c r="F29" s="1735"/>
      <c r="G29" s="1832">
        <v>0</v>
      </c>
      <c r="H29" s="1833">
        <v>0</v>
      </c>
      <c r="I29" s="1747">
        <f t="shared" si="0"/>
        <v>0</v>
      </c>
      <c r="J29" s="1748">
        <f t="shared" si="1"/>
        <v>0</v>
      </c>
      <c r="K29" s="1773"/>
      <c r="L29" s="1774"/>
    </row>
    <row r="30" spans="1:12">
      <c r="A30" s="1714">
        <v>8240</v>
      </c>
      <c r="B30" s="1761" t="s">
        <v>2080</v>
      </c>
      <c r="C30" s="1734"/>
      <c r="D30" s="1735"/>
      <c r="E30" s="1734"/>
      <c r="F30" s="1735"/>
      <c r="G30" s="1832">
        <v>0</v>
      </c>
      <c r="H30" s="1833">
        <v>0</v>
      </c>
      <c r="I30" s="1747">
        <f t="shared" si="0"/>
        <v>0</v>
      </c>
      <c r="J30" s="1748">
        <f t="shared" si="1"/>
        <v>0</v>
      </c>
      <c r="K30" s="1773"/>
      <c r="L30" s="1774"/>
    </row>
    <row r="31" spans="1:12">
      <c r="A31" s="1714">
        <v>8250</v>
      </c>
      <c r="B31" s="1761" t="s">
        <v>2081</v>
      </c>
      <c r="C31" s="1734"/>
      <c r="D31" s="1735"/>
      <c r="E31" s="1734"/>
      <c r="F31" s="1735"/>
      <c r="G31" s="1832">
        <v>0</v>
      </c>
      <c r="H31" s="1833">
        <v>0</v>
      </c>
      <c r="I31" s="1747">
        <f t="shared" si="0"/>
        <v>0</v>
      </c>
      <c r="J31" s="1748">
        <f t="shared" si="1"/>
        <v>0</v>
      </c>
      <c r="K31" s="1773"/>
      <c r="L31" s="1774"/>
    </row>
    <row r="32" spans="1:12" ht="18" customHeight="1" thickBot="1">
      <c r="A32" s="1714">
        <v>8300</v>
      </c>
      <c r="B32" s="1766" t="s">
        <v>2082</v>
      </c>
      <c r="C32" s="1734"/>
      <c r="D32" s="1735"/>
      <c r="E32" s="1734"/>
      <c r="F32" s="1735"/>
      <c r="G32" s="1832">
        <v>0</v>
      </c>
      <c r="H32" s="1833">
        <v>0</v>
      </c>
      <c r="I32" s="1749">
        <f t="shared" si="0"/>
        <v>0</v>
      </c>
      <c r="J32" s="1750">
        <f t="shared" si="1"/>
        <v>0</v>
      </c>
      <c r="K32" s="1773"/>
      <c r="L32" s="1774"/>
    </row>
    <row r="33" spans="1:12" ht="16.5" thickBot="1">
      <c r="A33" s="1714">
        <v>9999</v>
      </c>
      <c r="B33" s="1751" t="s">
        <v>2083</v>
      </c>
      <c r="C33" s="1752">
        <f t="shared" ref="C33:H33" si="6">+C9+C13+C19+C20+C21+C22+C23+C24</f>
        <v>0</v>
      </c>
      <c r="D33" s="1753">
        <f t="shared" si="6"/>
        <v>0</v>
      </c>
      <c r="E33" s="1754">
        <f t="shared" si="6"/>
        <v>0</v>
      </c>
      <c r="F33" s="1755">
        <f t="shared" si="6"/>
        <v>0</v>
      </c>
      <c r="G33" s="1825">
        <f t="shared" si="6"/>
        <v>0</v>
      </c>
      <c r="H33" s="1826">
        <f t="shared" si="6"/>
        <v>0</v>
      </c>
      <c r="I33" s="1752">
        <f t="shared" si="0"/>
        <v>0</v>
      </c>
      <c r="J33" s="1753">
        <f t="shared" si="1"/>
        <v>0</v>
      </c>
      <c r="K33" s="1775" t="s">
        <v>2130</v>
      </c>
      <c r="L33" s="1776" t="s">
        <v>2130</v>
      </c>
    </row>
    <row r="35" spans="1:12">
      <c r="A35" s="1714">
        <v>99999</v>
      </c>
      <c r="B35" s="1756" t="s">
        <v>2084</v>
      </c>
      <c r="C35" s="1757">
        <f t="shared" ref="C35:J35" si="7">+ABS(C8)-ABS(C33)</f>
        <v>0</v>
      </c>
      <c r="D35" s="1757">
        <f t="shared" si="7"/>
        <v>0</v>
      </c>
      <c r="E35" s="1757">
        <f t="shared" si="7"/>
        <v>0</v>
      </c>
      <c r="F35" s="1757">
        <f t="shared" si="7"/>
        <v>0</v>
      </c>
      <c r="G35" s="1831">
        <v>0</v>
      </c>
      <c r="H35" s="1831">
        <v>0</v>
      </c>
      <c r="I35" s="1757">
        <f t="shared" si="7"/>
        <v>0</v>
      </c>
      <c r="J35" s="1757">
        <f t="shared" si="7"/>
        <v>0</v>
      </c>
      <c r="K35" s="1757"/>
    </row>
    <row r="36" spans="1:12">
      <c r="A36" s="1758" t="s">
        <v>1963</v>
      </c>
    </row>
  </sheetData>
  <sheetProtection password="81B0" sheet="1"/>
  <mergeCells count="7">
    <mergeCell ref="L6:L7"/>
    <mergeCell ref="G6:G7"/>
    <mergeCell ref="B6:B7"/>
    <mergeCell ref="C6:C7"/>
    <mergeCell ref="E6:E7"/>
    <mergeCell ref="I6:I7"/>
    <mergeCell ref="K6:K7"/>
  </mergeCells>
  <conditionalFormatting sqref="C5:J5">
    <cfRule type="cellIs" dxfId="19" priority="3" operator="equal">
      <formula>"НЕРАВНЕНИЕ!"</formula>
    </cfRule>
  </conditionalFormatting>
  <conditionalFormatting sqref="K5">
    <cfRule type="cellIs" dxfId="18" priority="2" operator="equal">
      <formula>"НЕРАВНЕНИЕ!"</formula>
    </cfRule>
  </conditionalFormatting>
  <dataValidations count="1">
    <dataValidation type="whole" operator="greaterThanOrEqual" allowBlank="1" showInputMessage="1" showErrorMessage="1" error="Въвежда се цяло положително число!" sqref="C27:H32 C25:H25 C14:H23 C10:H12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RowHeight="12.75"/>
  <cols>
    <col min="1" max="1" width="0" style="1546" hidden="1" customWidth="1"/>
    <col min="2" max="2" width="53.85546875" style="1546" customWidth="1"/>
    <col min="3" max="3" width="5.7109375" style="1546" customWidth="1"/>
    <col min="4" max="4" width="15.7109375" style="1546" customWidth="1"/>
    <col min="5" max="5" width="15" style="1546" customWidth="1"/>
    <col min="6" max="14" width="14.7109375" style="1546" hidden="1" customWidth="1"/>
    <col min="15" max="15" width="17.7109375" style="1546" hidden="1" customWidth="1"/>
    <col min="16" max="16384" width="9.140625" style="1546"/>
  </cols>
  <sheetData>
    <row r="1" spans="1:15" ht="37.5" customHeight="1">
      <c r="A1" s="1544">
        <v>1</v>
      </c>
      <c r="B1" s="2027" t="str">
        <f>CONCATENATE("ОЧАКВАНО ИЗПЪЛНЕНИЕ НА БЮДЖЕТА за ", OTCHET!$C$3, " година")</f>
        <v>ОЧАКВАНО ИЗПЪЛНЕНИЕ НА БЮДЖЕТА за 2025 година</v>
      </c>
      <c r="C1" s="2027"/>
      <c r="D1" s="2027"/>
      <c r="E1" s="2027"/>
      <c r="F1" s="1545"/>
      <c r="G1" s="1545"/>
      <c r="H1" s="1545"/>
      <c r="I1" s="1545"/>
      <c r="J1" s="1545"/>
      <c r="K1" s="1545"/>
      <c r="L1" s="1545"/>
      <c r="M1" s="1545"/>
      <c r="N1" s="1545"/>
      <c r="O1" s="1545"/>
    </row>
    <row r="2" spans="1:15" ht="18" customHeight="1">
      <c r="A2" s="1544">
        <v>1</v>
      </c>
      <c r="B2" s="1547" t="e">
        <f>CONCATENATE("на ОБЩИНА :  ",$C$2)</f>
        <v>#N/A</v>
      </c>
      <c r="C2" s="1548" t="e">
        <f>OTCHET!$B$12</f>
        <v>#N/A</v>
      </c>
      <c r="D2" s="1549"/>
      <c r="E2" s="1549"/>
      <c r="F2" s="1545"/>
      <c r="G2" s="1545"/>
      <c r="H2" s="1545"/>
      <c r="I2" s="1545"/>
      <c r="J2" s="1545"/>
      <c r="K2" s="1545"/>
      <c r="L2" s="1545"/>
      <c r="M2" s="1545"/>
      <c r="N2" s="1545"/>
      <c r="O2" s="1545"/>
    </row>
    <row r="3" spans="1:15" ht="18" customHeight="1" thickBot="1">
      <c r="A3" s="1544"/>
      <c r="B3" s="1547" t="str">
        <f>CONCATENATE("Код по ЕБК  :  ",$C$3)</f>
        <v>Код по ЕБК  :  1201341</v>
      </c>
      <c r="C3" s="1550" t="str">
        <f>OTCHET!$F$12</f>
        <v>1201341</v>
      </c>
      <c r="D3" s="1549"/>
      <c r="E3" s="1549"/>
      <c r="F3" s="1551"/>
      <c r="G3" s="1551"/>
      <c r="H3" s="1551"/>
      <c r="I3" s="1551"/>
      <c r="J3" s="1551"/>
      <c r="K3" s="1551"/>
      <c r="L3" s="1551"/>
      <c r="M3" s="1551"/>
      <c r="N3" s="1551"/>
      <c r="O3" s="1551"/>
    </row>
    <row r="4" spans="1:15" ht="64.5" customHeight="1" thickBot="1">
      <c r="A4" s="1544">
        <v>1</v>
      </c>
      <c r="B4" s="2028" t="s">
        <v>1923</v>
      </c>
      <c r="C4" s="2031" t="s">
        <v>62</v>
      </c>
      <c r="D4" s="1552" t="str">
        <f>CONCATENATE("Уточнен план за ", OTCHET!$C$3, " г.")</f>
        <v>Уточнен план за 2025 г.</v>
      </c>
      <c r="E4" s="1553" t="s">
        <v>1924</v>
      </c>
      <c r="F4" s="2034" t="str">
        <f>CONCATENATE("Очаквано изпълнение на бюджета по месеци за ",OTCHET!$C$3, "г. (месечно изменение)")</f>
        <v>Очаквано изпълнение на бюджета по месеци за 2025г. (месечно изменение)</v>
      </c>
      <c r="G4" s="2035"/>
      <c r="H4" s="2035"/>
      <c r="I4" s="2035"/>
      <c r="J4" s="2035"/>
      <c r="K4" s="2035"/>
      <c r="L4" s="2035"/>
      <c r="M4" s="2035"/>
      <c r="N4" s="2036"/>
      <c r="O4" s="2037" t="str">
        <f>CONCATENATE("Очаквано изпълнение за ", OTCHET!$C$3, " г. – общо")</f>
        <v>Очаквано изпълнение за 2025 г. – общо</v>
      </c>
    </row>
    <row r="5" spans="1:15" ht="12.75" hidden="1" customHeight="1">
      <c r="A5" s="1544">
        <v>1</v>
      </c>
      <c r="B5" s="2029"/>
      <c r="C5" s="2032"/>
      <c r="D5" s="1554">
        <v>0</v>
      </c>
      <c r="E5" s="1555">
        <v>3</v>
      </c>
      <c r="F5" s="1556">
        <v>4</v>
      </c>
      <c r="G5" s="1556">
        <v>5</v>
      </c>
      <c r="H5" s="1556">
        <v>6</v>
      </c>
      <c r="I5" s="1556">
        <v>7</v>
      </c>
      <c r="J5" s="1556">
        <v>8</v>
      </c>
      <c r="K5" s="1556">
        <v>9</v>
      </c>
      <c r="L5" s="1556">
        <v>10</v>
      </c>
      <c r="M5" s="1556">
        <v>11</v>
      </c>
      <c r="N5" s="1557">
        <v>12</v>
      </c>
      <c r="O5" s="2038"/>
    </row>
    <row r="6" spans="1:15" ht="26.25" thickBot="1">
      <c r="A6" s="1544">
        <v>1</v>
      </c>
      <c r="B6" s="2029"/>
      <c r="C6" s="2032"/>
      <c r="D6" s="1558"/>
      <c r="E6" s="1559" t="str">
        <f>OTCHET!$F$10</f>
        <v>декември</v>
      </c>
      <c r="F6" s="1560" t="s">
        <v>1631</v>
      </c>
      <c r="G6" s="1560" t="s">
        <v>1632</v>
      </c>
      <c r="H6" s="1560" t="s">
        <v>1633</v>
      </c>
      <c r="I6" s="1560" t="s">
        <v>1634</v>
      </c>
      <c r="J6" s="1560" t="s">
        <v>1635</v>
      </c>
      <c r="K6" s="1560" t="s">
        <v>1636</v>
      </c>
      <c r="L6" s="1560" t="s">
        <v>1637</v>
      </c>
      <c r="M6" s="1560" t="s">
        <v>1638</v>
      </c>
      <c r="N6" s="1561" t="s">
        <v>1639</v>
      </c>
      <c r="O6" s="1641" t="s">
        <v>1967</v>
      </c>
    </row>
    <row r="7" spans="1:15" ht="13.5" thickBot="1">
      <c r="A7" s="1544">
        <v>1</v>
      </c>
      <c r="B7" s="2030"/>
      <c r="C7" s="2033"/>
      <c r="D7" s="1562" t="s">
        <v>171</v>
      </c>
      <c r="E7" s="1563" t="s">
        <v>172</v>
      </c>
      <c r="F7" s="1564" t="s">
        <v>703</v>
      </c>
      <c r="G7" s="1564" t="s">
        <v>704</v>
      </c>
      <c r="H7" s="1564" t="s">
        <v>683</v>
      </c>
      <c r="I7" s="1564" t="s">
        <v>853</v>
      </c>
      <c r="J7" s="1564" t="s">
        <v>854</v>
      </c>
      <c r="K7" s="1564" t="s">
        <v>855</v>
      </c>
      <c r="L7" s="1564" t="s">
        <v>1925</v>
      </c>
      <c r="M7" s="1564" t="s">
        <v>1926</v>
      </c>
      <c r="N7" s="1564" t="s">
        <v>1927</v>
      </c>
      <c r="O7" s="1565"/>
    </row>
    <row r="8" spans="1:15" ht="25.5">
      <c r="A8" s="1544">
        <v>1</v>
      </c>
      <c r="B8" s="1566" t="s">
        <v>1928</v>
      </c>
      <c r="C8" s="1647">
        <v>9990</v>
      </c>
      <c r="D8" s="1567">
        <f>OTCHET!E167</f>
        <v>0</v>
      </c>
      <c r="E8" s="1567">
        <f>OTCHET!L167</f>
        <v>0</v>
      </c>
      <c r="F8" s="1642"/>
      <c r="G8" s="1642"/>
      <c r="H8" s="1642"/>
      <c r="I8" s="1642"/>
      <c r="J8" s="1642"/>
      <c r="K8" s="1642"/>
      <c r="L8" s="1642"/>
      <c r="M8" s="1642"/>
      <c r="N8" s="1642"/>
      <c r="O8" s="1568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0</v>
      </c>
    </row>
    <row r="9" spans="1:15">
      <c r="A9" s="1544">
        <v>1</v>
      </c>
      <c r="B9" s="1569" t="s">
        <v>1929</v>
      </c>
      <c r="C9" s="1570"/>
      <c r="D9" s="1571"/>
      <c r="E9" s="1571"/>
      <c r="F9" s="1571"/>
      <c r="G9" s="1571"/>
      <c r="H9" s="1571"/>
      <c r="I9" s="1571"/>
      <c r="J9" s="1571"/>
      <c r="K9" s="1571"/>
      <c r="L9" s="1571"/>
      <c r="M9" s="1571"/>
      <c r="N9" s="1571"/>
      <c r="O9" s="1572"/>
    </row>
    <row r="10" spans="1:15" ht="25.5">
      <c r="A10" s="1544"/>
      <c r="B10" s="1573" t="s">
        <v>1930</v>
      </c>
      <c r="C10" s="1574">
        <v>1304</v>
      </c>
      <c r="D10" s="1575">
        <f>OTCHET!$E$56</f>
        <v>0</v>
      </c>
      <c r="E10" s="1575">
        <f>OTCHET!$L$56</f>
        <v>0</v>
      </c>
      <c r="F10" s="1576"/>
      <c r="G10" s="1576"/>
      <c r="H10" s="1576"/>
      <c r="I10" s="1576"/>
      <c r="J10" s="1576"/>
      <c r="K10" s="1576"/>
      <c r="L10" s="1576"/>
      <c r="M10" s="1576"/>
      <c r="N10" s="1576"/>
      <c r="O10" s="1572">
        <f>SUM(E10:N10)</f>
        <v>0</v>
      </c>
    </row>
    <row r="11" spans="1:15">
      <c r="A11" s="1577"/>
      <c r="B11" s="1578" t="s">
        <v>157</v>
      </c>
      <c r="C11" s="1574">
        <v>2400</v>
      </c>
      <c r="D11" s="1575">
        <f>OTCHET!$E$74</f>
        <v>0</v>
      </c>
      <c r="E11" s="1575">
        <f>OTCHET!$L$74</f>
        <v>0</v>
      </c>
      <c r="F11" s="1579"/>
      <c r="G11" s="1579"/>
      <c r="H11" s="1579"/>
      <c r="I11" s="1579"/>
      <c r="J11" s="1579"/>
      <c r="K11" s="1579"/>
      <c r="L11" s="1579"/>
      <c r="M11" s="1579"/>
      <c r="N11" s="1579"/>
      <c r="O11" s="1572">
        <f t="shared" ref="O11:O18" si="0">SUM(E11:N11)</f>
        <v>0</v>
      </c>
    </row>
    <row r="12" spans="1:15">
      <c r="A12" s="1577"/>
      <c r="B12" s="1578" t="s">
        <v>516</v>
      </c>
      <c r="C12" s="1574">
        <v>2500</v>
      </c>
      <c r="D12" s="1571">
        <f>OTCHET!$E$90</f>
        <v>0</v>
      </c>
      <c r="E12" s="1571">
        <f>OTCHET!$L$90</f>
        <v>0</v>
      </c>
      <c r="F12" s="1579"/>
      <c r="G12" s="1579"/>
      <c r="H12" s="1579"/>
      <c r="I12" s="1579"/>
      <c r="J12" s="1579"/>
      <c r="K12" s="1579"/>
      <c r="L12" s="1579"/>
      <c r="M12" s="1579"/>
      <c r="N12" s="1579"/>
      <c r="O12" s="1572">
        <f t="shared" si="0"/>
        <v>0</v>
      </c>
    </row>
    <row r="13" spans="1:15">
      <c r="A13" s="1577">
        <v>0</v>
      </c>
      <c r="B13" s="1580" t="s">
        <v>1931</v>
      </c>
      <c r="C13" s="1574">
        <v>4000</v>
      </c>
      <c r="D13" s="1571">
        <f>OTCHET!$E$123</f>
        <v>0</v>
      </c>
      <c r="E13" s="1571">
        <f>OTCHET!$L$123</f>
        <v>0</v>
      </c>
      <c r="F13" s="1579"/>
      <c r="G13" s="1579"/>
      <c r="H13" s="1579"/>
      <c r="I13" s="1579"/>
      <c r="J13" s="1579"/>
      <c r="K13" s="1579"/>
      <c r="L13" s="1579"/>
      <c r="M13" s="1579"/>
      <c r="N13" s="1579"/>
      <c r="O13" s="1572">
        <f t="shared" si="0"/>
        <v>0</v>
      </c>
    </row>
    <row r="14" spans="1:15">
      <c r="A14" s="1577">
        <v>0</v>
      </c>
      <c r="B14" s="1581" t="s">
        <v>725</v>
      </c>
      <c r="C14" s="1574">
        <v>4100</v>
      </c>
      <c r="D14" s="1575">
        <f>OTCHET!$E$135</f>
        <v>0</v>
      </c>
      <c r="E14" s="1575">
        <f>OTCHET!$L$135</f>
        <v>0</v>
      </c>
      <c r="F14" s="1576"/>
      <c r="G14" s="1576"/>
      <c r="H14" s="1576"/>
      <c r="I14" s="1576"/>
      <c r="J14" s="1576"/>
      <c r="K14" s="1576"/>
      <c r="L14" s="1576"/>
      <c r="M14" s="1576"/>
      <c r="N14" s="1576"/>
      <c r="O14" s="1572">
        <f t="shared" si="0"/>
        <v>0</v>
      </c>
    </row>
    <row r="15" spans="1:15">
      <c r="A15" s="1577">
        <v>0</v>
      </c>
      <c r="B15" s="1582" t="s">
        <v>328</v>
      </c>
      <c r="C15" s="1574">
        <v>4500</v>
      </c>
      <c r="D15" s="1571">
        <f>OTCHET!$E$137</f>
        <v>0</v>
      </c>
      <c r="E15" s="1571">
        <f>OTCHET!$L$137</f>
        <v>0</v>
      </c>
      <c r="F15" s="1579"/>
      <c r="G15" s="1579"/>
      <c r="H15" s="1579"/>
      <c r="I15" s="1579"/>
      <c r="J15" s="1579"/>
      <c r="K15" s="1579"/>
      <c r="L15" s="1579"/>
      <c r="M15" s="1579"/>
      <c r="N15" s="1579"/>
      <c r="O15" s="1572">
        <f t="shared" si="0"/>
        <v>0</v>
      </c>
    </row>
    <row r="16" spans="1:15">
      <c r="A16" s="1577">
        <v>0</v>
      </c>
      <c r="B16" s="1582" t="s">
        <v>331</v>
      </c>
      <c r="C16" s="1574">
        <v>4600</v>
      </c>
      <c r="D16" s="1571">
        <f>OTCHET!$E$140</f>
        <v>0</v>
      </c>
      <c r="E16" s="1571">
        <f>OTCHET!$L$140</f>
        <v>0</v>
      </c>
      <c r="F16" s="1579"/>
      <c r="G16" s="1579"/>
      <c r="H16" s="1579"/>
      <c r="I16" s="1579"/>
      <c r="J16" s="1579"/>
      <c r="K16" s="1579"/>
      <c r="L16" s="1579"/>
      <c r="M16" s="1579"/>
      <c r="N16" s="1579"/>
      <c r="O16" s="1572">
        <f t="shared" si="0"/>
        <v>0</v>
      </c>
    </row>
    <row r="17" spans="1:15" ht="25.5">
      <c r="A17" s="1577">
        <v>0</v>
      </c>
      <c r="B17" s="1582" t="s">
        <v>257</v>
      </c>
      <c r="C17" s="1574">
        <v>4700</v>
      </c>
      <c r="D17" s="1571">
        <f>OTCHET!$E$149</f>
        <v>0</v>
      </c>
      <c r="E17" s="1571">
        <f>OTCHET!$L$149</f>
        <v>0</v>
      </c>
      <c r="F17" s="1579"/>
      <c r="G17" s="1579"/>
      <c r="H17" s="1579"/>
      <c r="I17" s="1579"/>
      <c r="J17" s="1579"/>
      <c r="K17" s="1579"/>
      <c r="L17" s="1579"/>
      <c r="M17" s="1579"/>
      <c r="N17" s="1579"/>
      <c r="O17" s="1572">
        <f t="shared" si="0"/>
        <v>0</v>
      </c>
    </row>
    <row r="18" spans="1:15" ht="25.5">
      <c r="A18" s="1577">
        <v>0</v>
      </c>
      <c r="B18" s="1583" t="s">
        <v>258</v>
      </c>
      <c r="C18" s="1574">
        <v>4800</v>
      </c>
      <c r="D18" s="1584">
        <f>OTCHET!$E$158</f>
        <v>0</v>
      </c>
      <c r="E18" s="1584">
        <f>OTCHET!$L$158</f>
        <v>0</v>
      </c>
      <c r="F18" s="1585"/>
      <c r="G18" s="1585"/>
      <c r="H18" s="1585"/>
      <c r="I18" s="1585"/>
      <c r="J18" s="1585"/>
      <c r="K18" s="1585"/>
      <c r="L18" s="1585"/>
      <c r="M18" s="1585"/>
      <c r="N18" s="1585"/>
      <c r="O18" s="1572">
        <f t="shared" si="0"/>
        <v>0</v>
      </c>
    </row>
    <row r="19" spans="1:15">
      <c r="A19" s="1544">
        <v>1</v>
      </c>
      <c r="B19" s="1586" t="s">
        <v>1932</v>
      </c>
      <c r="C19" s="1648">
        <v>9991</v>
      </c>
      <c r="D19" s="1587">
        <f>OTCHET!E304</f>
        <v>0</v>
      </c>
      <c r="E19" s="1587">
        <f>OTCHET!L304</f>
        <v>1048064</v>
      </c>
      <c r="F19" s="1643"/>
      <c r="G19" s="1643"/>
      <c r="H19" s="1643"/>
      <c r="I19" s="1643"/>
      <c r="J19" s="1643"/>
      <c r="K19" s="1643"/>
      <c r="L19" s="1643"/>
      <c r="M19" s="1643"/>
      <c r="N19" s="1643"/>
      <c r="O19" s="1588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1048064</v>
      </c>
    </row>
    <row r="20" spans="1:15">
      <c r="A20" s="1577"/>
      <c r="B20" s="1569" t="s">
        <v>1933</v>
      </c>
      <c r="C20" s="1589"/>
      <c r="D20" s="1571"/>
      <c r="E20" s="1571"/>
      <c r="F20" s="1571"/>
      <c r="G20" s="1571"/>
      <c r="H20" s="1571"/>
      <c r="I20" s="1571"/>
      <c r="J20" s="1571"/>
      <c r="K20" s="1571"/>
      <c r="L20" s="1571"/>
      <c r="M20" s="1571"/>
      <c r="N20" s="1571"/>
      <c r="O20" s="1572"/>
    </row>
    <row r="21" spans="1:15">
      <c r="A21" s="1577"/>
      <c r="B21" s="1590" t="s">
        <v>1934</v>
      </c>
      <c r="C21" s="1646">
        <v>2000</v>
      </c>
      <c r="D21" s="1591">
        <f>+D22+D23</f>
        <v>0</v>
      </c>
      <c r="E21" s="1591">
        <f>+E22+E23</f>
        <v>0</v>
      </c>
      <c r="F21" s="1591">
        <f t="shared" ref="F21:N21" si="1">+F22+F23</f>
        <v>0</v>
      </c>
      <c r="G21" s="1591">
        <f t="shared" si="1"/>
        <v>0</v>
      </c>
      <c r="H21" s="1591">
        <f t="shared" si="1"/>
        <v>0</v>
      </c>
      <c r="I21" s="1591">
        <f t="shared" si="1"/>
        <v>0</v>
      </c>
      <c r="J21" s="1591">
        <f t="shared" si="1"/>
        <v>0</v>
      </c>
      <c r="K21" s="1591">
        <f t="shared" si="1"/>
        <v>0</v>
      </c>
      <c r="L21" s="1591">
        <f t="shared" si="1"/>
        <v>0</v>
      </c>
      <c r="M21" s="1591">
        <f t="shared" si="1"/>
        <v>0</v>
      </c>
      <c r="N21" s="1591">
        <f t="shared" si="1"/>
        <v>0</v>
      </c>
      <c r="O21" s="1591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577"/>
      <c r="B22" s="1592" t="s">
        <v>1935</v>
      </c>
      <c r="C22" s="1593">
        <v>2100</v>
      </c>
      <c r="D22" s="1571">
        <f>SUM(OTCHET!$E$227,OTCHET!$E$233,OTCHET!$E$243)</f>
        <v>0</v>
      </c>
      <c r="E22" s="1571">
        <f>SUM(OTCHET!$L$227,OTCHET!$L$233,OTCHET!$L$243)</f>
        <v>0</v>
      </c>
      <c r="F22" s="1579"/>
      <c r="G22" s="1579"/>
      <c r="H22" s="1579"/>
      <c r="I22" s="1579"/>
      <c r="J22" s="1579"/>
      <c r="K22" s="1579"/>
      <c r="L22" s="1579"/>
      <c r="M22" s="1579"/>
      <c r="N22" s="1579"/>
      <c r="O22" s="1572">
        <f t="shared" ref="O22:O30" si="2">SUM(E22:N22)</f>
        <v>0</v>
      </c>
    </row>
    <row r="23" spans="1:15">
      <c r="A23" s="1577"/>
      <c r="B23" s="1594" t="s">
        <v>1936</v>
      </c>
      <c r="C23" s="1593">
        <v>2600</v>
      </c>
      <c r="D23" s="1571">
        <f>SUM(OTCHET!$E$236,OTCHET!$E$237,OTCHET!$E$238,OTCHET!$E$239)</f>
        <v>0</v>
      </c>
      <c r="E23" s="1571">
        <f>SUM(OTCHET!$L$236,OTCHET!$L$237,OTCHET!$L$238,OTCHET!$L$239)</f>
        <v>0</v>
      </c>
      <c r="F23" s="1579"/>
      <c r="G23" s="1579"/>
      <c r="H23" s="1579"/>
      <c r="I23" s="1579"/>
      <c r="J23" s="1579"/>
      <c r="K23" s="1579"/>
      <c r="L23" s="1579"/>
      <c r="M23" s="1579"/>
      <c r="N23" s="1579"/>
      <c r="O23" s="1572">
        <f t="shared" si="2"/>
        <v>0</v>
      </c>
    </row>
    <row r="24" spans="1:15" ht="25.5">
      <c r="A24" s="1577">
        <v>0</v>
      </c>
      <c r="B24" s="1592" t="s">
        <v>230</v>
      </c>
      <c r="C24" s="1574">
        <v>4200</v>
      </c>
      <c r="D24" s="1595">
        <f>OTCHET!$E$261</f>
        <v>0</v>
      </c>
      <c r="E24" s="1595">
        <f>OTCHET!$L$261</f>
        <v>0</v>
      </c>
      <c r="F24" s="1596"/>
      <c r="G24" s="1596"/>
      <c r="H24" s="1596"/>
      <c r="I24" s="1596"/>
      <c r="J24" s="1596"/>
      <c r="K24" s="1596"/>
      <c r="L24" s="1596"/>
      <c r="M24" s="1596"/>
      <c r="N24" s="1596"/>
      <c r="O24" s="1572">
        <f t="shared" si="2"/>
        <v>0</v>
      </c>
    </row>
    <row r="25" spans="1:15" ht="25.5">
      <c r="A25" s="1577">
        <v>0</v>
      </c>
      <c r="B25" s="1597" t="s">
        <v>1937</v>
      </c>
      <c r="C25" s="1574">
        <v>4300</v>
      </c>
      <c r="D25" s="1595">
        <f>OTCHET!$E$268</f>
        <v>0</v>
      </c>
      <c r="E25" s="1595">
        <f>OTCHET!$L$268</f>
        <v>0</v>
      </c>
      <c r="F25" s="1596"/>
      <c r="G25" s="1596"/>
      <c r="H25" s="1596"/>
      <c r="I25" s="1596"/>
      <c r="J25" s="1596"/>
      <c r="K25" s="1596"/>
      <c r="L25" s="1596"/>
      <c r="M25" s="1596"/>
      <c r="N25" s="1596"/>
      <c r="O25" s="1572">
        <f t="shared" si="2"/>
        <v>0</v>
      </c>
    </row>
    <row r="26" spans="1:15">
      <c r="A26" s="1577">
        <v>0</v>
      </c>
      <c r="B26" s="1592" t="s">
        <v>241</v>
      </c>
      <c r="C26" s="1574">
        <v>5100</v>
      </c>
      <c r="D26" s="1595">
        <f>OTCHET!$E$278</f>
        <v>0</v>
      </c>
      <c r="E26" s="1595">
        <f>OTCHET!$L$278</f>
        <v>0</v>
      </c>
      <c r="F26" s="1596"/>
      <c r="G26" s="1596"/>
      <c r="H26" s="1596"/>
      <c r="I26" s="1596"/>
      <c r="J26" s="1596"/>
      <c r="K26" s="1596"/>
      <c r="L26" s="1596"/>
      <c r="M26" s="1596"/>
      <c r="N26" s="1596"/>
      <c r="O26" s="1572">
        <f t="shared" si="2"/>
        <v>0</v>
      </c>
    </row>
    <row r="27" spans="1:15">
      <c r="A27" s="1577">
        <v>0</v>
      </c>
      <c r="B27" s="1592" t="s">
        <v>242</v>
      </c>
      <c r="C27" s="1574">
        <v>5200</v>
      </c>
      <c r="D27" s="1595">
        <f>OTCHET!$E$279</f>
        <v>0</v>
      </c>
      <c r="E27" s="1595">
        <f>OTCHET!$L$279</f>
        <v>4900</v>
      </c>
      <c r="F27" s="1596"/>
      <c r="G27" s="1596"/>
      <c r="H27" s="1596"/>
      <c r="I27" s="1596"/>
      <c r="J27" s="1596"/>
      <c r="K27" s="1596"/>
      <c r="L27" s="1596"/>
      <c r="M27" s="1596"/>
      <c r="N27" s="1596"/>
      <c r="O27" s="1572">
        <f t="shared" si="2"/>
        <v>4900</v>
      </c>
    </row>
    <row r="28" spans="1:15">
      <c r="A28" s="1577">
        <v>0</v>
      </c>
      <c r="B28" s="1592" t="s">
        <v>614</v>
      </c>
      <c r="C28" s="1574">
        <v>5300</v>
      </c>
      <c r="D28" s="1595">
        <f>OTCHET!$E$287</f>
        <v>0</v>
      </c>
      <c r="E28" s="1595">
        <f>OTCHET!$L$287</f>
        <v>0</v>
      </c>
      <c r="F28" s="1596"/>
      <c r="G28" s="1596"/>
      <c r="H28" s="1596"/>
      <c r="I28" s="1596"/>
      <c r="J28" s="1596"/>
      <c r="K28" s="1596"/>
      <c r="L28" s="1596"/>
      <c r="M28" s="1596"/>
      <c r="N28" s="1596"/>
      <c r="O28" s="1572">
        <f t="shared" si="2"/>
        <v>0</v>
      </c>
    </row>
    <row r="29" spans="1:15">
      <c r="A29" s="1577">
        <v>0</v>
      </c>
      <c r="B29" s="1592" t="s">
        <v>672</v>
      </c>
      <c r="C29" s="1574">
        <v>5400</v>
      </c>
      <c r="D29" s="1595">
        <f>OTCHET!$E$290</f>
        <v>0</v>
      </c>
      <c r="E29" s="1595">
        <f>OTCHET!$L$290</f>
        <v>0</v>
      </c>
      <c r="F29" s="1596"/>
      <c r="G29" s="1596"/>
      <c r="H29" s="1596"/>
      <c r="I29" s="1596"/>
      <c r="J29" s="1596"/>
      <c r="K29" s="1596"/>
      <c r="L29" s="1596"/>
      <c r="M29" s="1596"/>
      <c r="N29" s="1596"/>
      <c r="O29" s="1572">
        <f t="shared" si="2"/>
        <v>0</v>
      </c>
    </row>
    <row r="30" spans="1:15">
      <c r="A30" s="1577">
        <v>0</v>
      </c>
      <c r="B30" s="1598" t="s">
        <v>673</v>
      </c>
      <c r="C30" s="1574">
        <v>5500</v>
      </c>
      <c r="D30" s="1599">
        <f>OTCHET!$E$291</f>
        <v>0</v>
      </c>
      <c r="E30" s="1599">
        <f>OTCHET!$L$291</f>
        <v>0</v>
      </c>
      <c r="F30" s="1600"/>
      <c r="G30" s="1600"/>
      <c r="H30" s="1600"/>
      <c r="I30" s="1600"/>
      <c r="J30" s="1600"/>
      <c r="K30" s="1600"/>
      <c r="L30" s="1600"/>
      <c r="M30" s="1600"/>
      <c r="N30" s="1600"/>
      <c r="O30" s="1572">
        <f t="shared" si="2"/>
        <v>0</v>
      </c>
    </row>
    <row r="31" spans="1:15" ht="38.25">
      <c r="A31" s="1601">
        <v>1</v>
      </c>
      <c r="B31" s="1602" t="s">
        <v>1938</v>
      </c>
      <c r="C31" s="1649">
        <v>9992</v>
      </c>
      <c r="D31" s="1587">
        <f>OTCHET!E422+OTCHET!E432</f>
        <v>0</v>
      </c>
      <c r="E31" s="1587">
        <f>OTCHET!L422+OTCHET!L432</f>
        <v>1040341</v>
      </c>
      <c r="F31" s="1643"/>
      <c r="G31" s="1643"/>
      <c r="H31" s="1643"/>
      <c r="I31" s="1643"/>
      <c r="J31" s="1643"/>
      <c r="K31" s="1643"/>
      <c r="L31" s="1643"/>
      <c r="M31" s="1643"/>
      <c r="N31" s="1643"/>
      <c r="O31" s="1588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1040341</v>
      </c>
    </row>
    <row r="32" spans="1:15">
      <c r="A32" s="1601">
        <v>1</v>
      </c>
      <c r="B32" s="1603" t="s">
        <v>1929</v>
      </c>
      <c r="C32" s="1604"/>
      <c r="D32" s="1595"/>
      <c r="E32" s="1595"/>
      <c r="F32" s="1595"/>
      <c r="G32" s="1595"/>
      <c r="H32" s="1595"/>
      <c r="I32" s="1595"/>
      <c r="J32" s="1595"/>
      <c r="K32" s="1595"/>
      <c r="L32" s="1595"/>
      <c r="M32" s="1595"/>
      <c r="N32" s="1595"/>
      <c r="O32" s="1572"/>
    </row>
    <row r="33" spans="1:15" ht="25.5">
      <c r="A33" s="1544">
        <v>1</v>
      </c>
      <c r="B33" s="1598" t="s">
        <v>1939</v>
      </c>
      <c r="C33" s="1574">
        <v>7600</v>
      </c>
      <c r="D33" s="1584">
        <f>OTCHET!$E$427</f>
        <v>0</v>
      </c>
      <c r="E33" s="1584">
        <f>OTCHET!$L$427</f>
        <v>0</v>
      </c>
      <c r="F33" s="1585"/>
      <c r="G33" s="1585"/>
      <c r="H33" s="1585"/>
      <c r="I33" s="1585"/>
      <c r="J33" s="1585"/>
      <c r="K33" s="1585"/>
      <c r="L33" s="1585"/>
      <c r="M33" s="1585"/>
      <c r="N33" s="1585"/>
      <c r="O33" s="1572">
        <f>SUM(E33:N33)</f>
        <v>0</v>
      </c>
    </row>
    <row r="34" spans="1:15">
      <c r="A34" s="1544">
        <v>1</v>
      </c>
      <c r="B34" s="1605" t="s">
        <v>1940</v>
      </c>
      <c r="C34" s="1606"/>
      <c r="D34" s="1607">
        <f t="shared" ref="D34:O34" si="3">+D8+D31-D19</f>
        <v>0</v>
      </c>
      <c r="E34" s="1607">
        <f t="shared" si="3"/>
        <v>-7723</v>
      </c>
      <c r="F34" s="1607">
        <f t="shared" si="3"/>
        <v>0</v>
      </c>
      <c r="G34" s="1607">
        <f t="shared" si="3"/>
        <v>0</v>
      </c>
      <c r="H34" s="1607">
        <f t="shared" si="3"/>
        <v>0</v>
      </c>
      <c r="I34" s="1607">
        <f t="shared" si="3"/>
        <v>0</v>
      </c>
      <c r="J34" s="1607">
        <f t="shared" si="3"/>
        <v>0</v>
      </c>
      <c r="K34" s="1607">
        <f t="shared" si="3"/>
        <v>0</v>
      </c>
      <c r="L34" s="1607">
        <f t="shared" si="3"/>
        <v>0</v>
      </c>
      <c r="M34" s="1607">
        <f t="shared" si="3"/>
        <v>0</v>
      </c>
      <c r="N34" s="1607">
        <f t="shared" si="3"/>
        <v>0</v>
      </c>
      <c r="O34" s="1607">
        <f t="shared" si="3"/>
        <v>-7723</v>
      </c>
    </row>
    <row r="35" spans="1:15" ht="15.75">
      <c r="A35" s="1544">
        <v>1</v>
      </c>
      <c r="B35" s="1608" t="s">
        <v>1941</v>
      </c>
      <c r="C35" s="1609"/>
      <c r="D35" s="1610">
        <f>+D34+D36</f>
        <v>0</v>
      </c>
      <c r="E35" s="1610">
        <f t="shared" ref="E35:O35" si="4">+E34+E36</f>
        <v>0</v>
      </c>
      <c r="F35" s="1610">
        <f t="shared" si="4"/>
        <v>0</v>
      </c>
      <c r="G35" s="1610">
        <f t="shared" si="4"/>
        <v>0</v>
      </c>
      <c r="H35" s="1610">
        <f t="shared" si="4"/>
        <v>0</v>
      </c>
      <c r="I35" s="1610">
        <f t="shared" si="4"/>
        <v>0</v>
      </c>
      <c r="J35" s="1610">
        <f t="shared" si="4"/>
        <v>0</v>
      </c>
      <c r="K35" s="1610">
        <f t="shared" si="4"/>
        <v>0</v>
      </c>
      <c r="L35" s="1610">
        <f t="shared" si="4"/>
        <v>0</v>
      </c>
      <c r="M35" s="1610">
        <f t="shared" si="4"/>
        <v>0</v>
      </c>
      <c r="N35" s="1610">
        <f t="shared" si="4"/>
        <v>0</v>
      </c>
      <c r="O35" s="1610">
        <f t="shared" si="4"/>
        <v>0</v>
      </c>
    </row>
    <row r="36" spans="1:15" ht="25.5">
      <c r="A36" s="1611">
        <v>1</v>
      </c>
      <c r="B36" s="1612" t="s">
        <v>1942</v>
      </c>
      <c r="C36" s="1648">
        <v>9993</v>
      </c>
      <c r="D36" s="1613">
        <f>OTCHET!E600</f>
        <v>0</v>
      </c>
      <c r="E36" s="1613">
        <f>OTCHET!L600</f>
        <v>7723</v>
      </c>
      <c r="F36" s="1644"/>
      <c r="G36" s="1644"/>
      <c r="H36" s="1644"/>
      <c r="I36" s="1644"/>
      <c r="J36" s="1644"/>
      <c r="K36" s="1644"/>
      <c r="L36" s="1644"/>
      <c r="M36" s="1644"/>
      <c r="N36" s="1644"/>
      <c r="O36" s="1614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7723</v>
      </c>
    </row>
    <row r="37" spans="1:15">
      <c r="A37" s="1611">
        <v>1</v>
      </c>
      <c r="B37" s="1615" t="s">
        <v>1943</v>
      </c>
      <c r="C37" s="1616"/>
      <c r="D37" s="1617"/>
      <c r="E37" s="1617"/>
      <c r="F37" s="1617"/>
      <c r="G37" s="1617"/>
      <c r="H37" s="1617"/>
      <c r="I37" s="1617"/>
      <c r="J37" s="1617"/>
      <c r="K37" s="1617"/>
      <c r="L37" s="1617"/>
      <c r="M37" s="1617"/>
      <c r="N37" s="1617"/>
      <c r="O37" s="1618"/>
    </row>
    <row r="38" spans="1:15">
      <c r="A38" s="1577">
        <v>0</v>
      </c>
      <c r="B38" s="1619" t="s">
        <v>754</v>
      </c>
      <c r="C38" s="1574">
        <v>7000</v>
      </c>
      <c r="D38" s="1620">
        <f>OTCHET!$E$464</f>
        <v>0</v>
      </c>
      <c r="E38" s="1620">
        <f>OTCHET!$L$464</f>
        <v>0</v>
      </c>
      <c r="F38" s="1621"/>
      <c r="G38" s="1621"/>
      <c r="H38" s="1621"/>
      <c r="I38" s="1621"/>
      <c r="J38" s="1621"/>
      <c r="K38" s="1621"/>
      <c r="L38" s="1621"/>
      <c r="M38" s="1621"/>
      <c r="N38" s="1621"/>
      <c r="O38" s="1572">
        <f>SUM(E38:N38)</f>
        <v>0</v>
      </c>
    </row>
    <row r="39" spans="1:15">
      <c r="A39" s="1577">
        <v>0</v>
      </c>
      <c r="B39" s="1622" t="s">
        <v>1990</v>
      </c>
      <c r="C39" s="1574">
        <v>7200</v>
      </c>
      <c r="D39" s="1620">
        <f>OTCHET!$E$471</f>
        <v>0</v>
      </c>
      <c r="E39" s="1620">
        <f>OTCHET!$L$471</f>
        <v>0</v>
      </c>
      <c r="F39" s="1621"/>
      <c r="G39" s="1621"/>
      <c r="H39" s="1621"/>
      <c r="I39" s="1621"/>
      <c r="J39" s="1621"/>
      <c r="K39" s="1621"/>
      <c r="L39" s="1621"/>
      <c r="M39" s="1621"/>
      <c r="N39" s="1621"/>
      <c r="O39" s="1572">
        <f>SUM(E39:N39)</f>
        <v>0</v>
      </c>
    </row>
    <row r="40" spans="1:15">
      <c r="A40" s="1577">
        <v>0</v>
      </c>
      <c r="B40" s="1623" t="s">
        <v>1944</v>
      </c>
      <c r="C40" s="1574">
        <v>8000</v>
      </c>
      <c r="D40" s="1624">
        <f t="shared" ref="D40:N40" si="5">+D41+D42</f>
        <v>0</v>
      </c>
      <c r="E40" s="1624">
        <f t="shared" si="5"/>
        <v>0</v>
      </c>
      <c r="F40" s="1624">
        <f t="shared" si="5"/>
        <v>0</v>
      </c>
      <c r="G40" s="1624">
        <f t="shared" si="5"/>
        <v>0</v>
      </c>
      <c r="H40" s="1624">
        <f t="shared" si="5"/>
        <v>0</v>
      </c>
      <c r="I40" s="1624">
        <f t="shared" si="5"/>
        <v>0</v>
      </c>
      <c r="J40" s="1624">
        <f t="shared" si="5"/>
        <v>0</v>
      </c>
      <c r="K40" s="1624">
        <f t="shared" si="5"/>
        <v>0</v>
      </c>
      <c r="L40" s="1624">
        <f t="shared" si="5"/>
        <v>0</v>
      </c>
      <c r="M40" s="1624">
        <f t="shared" si="5"/>
        <v>0</v>
      </c>
      <c r="N40" s="1624">
        <f t="shared" si="5"/>
        <v>0</v>
      </c>
      <c r="O40" s="1625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577">
        <v>0</v>
      </c>
      <c r="B41" s="1626" t="s">
        <v>1973</v>
      </c>
      <c r="C41" s="1593">
        <v>8011</v>
      </c>
      <c r="D41" s="1571">
        <f>SUM(OTCHET!$E$485,OTCHET!$E$486,OTCHET!$E$489,OTCHET!$E$490,OTCHET!$E$493,OTCHET!$E$494,OTCHET!$E$498)</f>
        <v>0</v>
      </c>
      <c r="E41" s="1571">
        <f>SUM(OTCHET!$L$485,OTCHET!$L$486,OTCHET!$L$489,OTCHET!$L$490,OTCHET!$L$493,OTCHET!$L$494,OTCHET!$L$498)</f>
        <v>0</v>
      </c>
      <c r="F41" s="1579"/>
      <c r="G41" s="1579"/>
      <c r="H41" s="1579"/>
      <c r="I41" s="1579"/>
      <c r="J41" s="1579"/>
      <c r="K41" s="1579"/>
      <c r="L41" s="1579"/>
      <c r="M41" s="1579"/>
      <c r="N41" s="1579"/>
      <c r="O41" s="1572">
        <f>SUM(E41:N41)</f>
        <v>0</v>
      </c>
    </row>
    <row r="42" spans="1:15" ht="25.5">
      <c r="A42" s="1577">
        <v>0</v>
      </c>
      <c r="B42" s="1627" t="s">
        <v>1972</v>
      </c>
      <c r="C42" s="1593">
        <v>8017</v>
      </c>
      <c r="D42" s="1571">
        <f>SUM(OTCHET!$E$487,OTCHET!$E$488,OTCHET!$E$491,OTCHET!$E$492,OTCHET!$E$495,OTCHET!$E$496,OTCHET!$E$499)</f>
        <v>0</v>
      </c>
      <c r="E42" s="1571">
        <f>SUM(OTCHET!$L$487,OTCHET!$L$488,OTCHET!$L$491,OTCHET!$L$492,OTCHET!$L$495,OTCHET!$L$496,OTCHET!$L$499)</f>
        <v>0</v>
      </c>
      <c r="F42" s="1579"/>
      <c r="G42" s="1579"/>
      <c r="H42" s="1579"/>
      <c r="I42" s="1579"/>
      <c r="J42" s="1579"/>
      <c r="K42" s="1579"/>
      <c r="L42" s="1579"/>
      <c r="M42" s="1579"/>
      <c r="N42" s="1579"/>
      <c r="O42" s="1572">
        <f>SUM(E42:N42)</f>
        <v>0</v>
      </c>
    </row>
    <row r="43" spans="1:15">
      <c r="A43" s="1577">
        <v>0</v>
      </c>
      <c r="B43" s="1623" t="s">
        <v>1945</v>
      </c>
      <c r="C43" s="1574">
        <v>8300</v>
      </c>
      <c r="D43" s="1591">
        <f>SUM(D44:D47)</f>
        <v>0</v>
      </c>
      <c r="E43" s="1591">
        <f t="shared" ref="E43:N43" si="6">SUM(E44:E47)</f>
        <v>0</v>
      </c>
      <c r="F43" s="1591">
        <f t="shared" si="6"/>
        <v>0</v>
      </c>
      <c r="G43" s="1591">
        <f t="shared" si="6"/>
        <v>0</v>
      </c>
      <c r="H43" s="1591">
        <f t="shared" si="6"/>
        <v>0</v>
      </c>
      <c r="I43" s="1591">
        <f t="shared" si="6"/>
        <v>0</v>
      </c>
      <c r="J43" s="1591">
        <f t="shared" si="6"/>
        <v>0</v>
      </c>
      <c r="K43" s="1591">
        <f t="shared" si="6"/>
        <v>0</v>
      </c>
      <c r="L43" s="1591">
        <f t="shared" si="6"/>
        <v>0</v>
      </c>
      <c r="M43" s="1591">
        <f t="shared" si="6"/>
        <v>0</v>
      </c>
      <c r="N43" s="1591">
        <f t="shared" si="6"/>
        <v>0</v>
      </c>
      <c r="O43" s="1628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577"/>
      <c r="B44" s="1626" t="s">
        <v>1971</v>
      </c>
      <c r="C44" s="1593">
        <v>8311</v>
      </c>
      <c r="D44" s="1571">
        <f>SUM(OTCHET!$E$507,OTCHET!$E$508)</f>
        <v>0</v>
      </c>
      <c r="E44" s="1571">
        <f>SUM(OTCHET!$L$507,OTCHET!$L$508)</f>
        <v>0</v>
      </c>
      <c r="F44" s="1579"/>
      <c r="G44" s="1579"/>
      <c r="H44" s="1579"/>
      <c r="I44" s="1579"/>
      <c r="J44" s="1579"/>
      <c r="K44" s="1579"/>
      <c r="L44" s="1579"/>
      <c r="M44" s="1579"/>
      <c r="N44" s="1579"/>
      <c r="O44" s="1572">
        <f t="shared" ref="O44:O52" si="7">SUM(E44:N44)</f>
        <v>0</v>
      </c>
    </row>
    <row r="45" spans="1:15" ht="25.5">
      <c r="A45" s="1577"/>
      <c r="B45" s="1627" t="s">
        <v>1970</v>
      </c>
      <c r="C45" s="1593">
        <v>8321</v>
      </c>
      <c r="D45" s="1571">
        <f>SUM(OTCHET!$E$509,OTCHET!$E$510)</f>
        <v>0</v>
      </c>
      <c r="E45" s="1571">
        <f>SUM(OTCHET!$L$509,OTCHET!$L$510)</f>
        <v>0</v>
      </c>
      <c r="F45" s="1579"/>
      <c r="G45" s="1579"/>
      <c r="H45" s="1579"/>
      <c r="I45" s="1579"/>
      <c r="J45" s="1579"/>
      <c r="K45" s="1579"/>
      <c r="L45" s="1579"/>
      <c r="M45" s="1579"/>
      <c r="N45" s="1579"/>
      <c r="O45" s="1572">
        <f t="shared" si="7"/>
        <v>0</v>
      </c>
    </row>
    <row r="46" spans="1:15" ht="25.5">
      <c r="A46" s="1577"/>
      <c r="B46" s="1626" t="s">
        <v>1969</v>
      </c>
      <c r="C46" s="1593">
        <v>8371</v>
      </c>
      <c r="D46" s="1571">
        <f>SUM(OTCHET!$E$511,OTCHET!$E$512)</f>
        <v>0</v>
      </c>
      <c r="E46" s="1571">
        <f>SUM(OTCHET!$L$511,OTCHET!$L$512)</f>
        <v>0</v>
      </c>
      <c r="F46" s="1579"/>
      <c r="G46" s="1579"/>
      <c r="H46" s="1579"/>
      <c r="I46" s="1579"/>
      <c r="J46" s="1579"/>
      <c r="K46" s="1579"/>
      <c r="L46" s="1579"/>
      <c r="M46" s="1579"/>
      <c r="N46" s="1579"/>
      <c r="O46" s="1572">
        <f t="shared" si="7"/>
        <v>0</v>
      </c>
    </row>
    <row r="47" spans="1:15" ht="25.5">
      <c r="A47" s="1577"/>
      <c r="B47" s="1627" t="s">
        <v>1968</v>
      </c>
      <c r="C47" s="1593">
        <v>8381</v>
      </c>
      <c r="D47" s="1571">
        <f>SUM(OTCHET!$E$513,OTCHET!$E$514)</f>
        <v>0</v>
      </c>
      <c r="E47" s="1571">
        <f>SUM(OTCHET!$L$513,OTCHET!$L$514)</f>
        <v>0</v>
      </c>
      <c r="F47" s="1579"/>
      <c r="G47" s="1579"/>
      <c r="H47" s="1579"/>
      <c r="I47" s="1579"/>
      <c r="J47" s="1579"/>
      <c r="K47" s="1579"/>
      <c r="L47" s="1579"/>
      <c r="M47" s="1579"/>
      <c r="N47" s="1579"/>
      <c r="O47" s="1572">
        <f t="shared" si="7"/>
        <v>0</v>
      </c>
    </row>
    <row r="48" spans="1:15">
      <c r="A48" s="1577"/>
      <c r="B48" s="1629" t="s">
        <v>33</v>
      </c>
      <c r="C48" s="1574">
        <v>8500</v>
      </c>
      <c r="D48" s="1571">
        <f>OTCHET!$E$515</f>
        <v>0</v>
      </c>
      <c r="E48" s="1571">
        <f>OTCHET!$L$515</f>
        <v>0</v>
      </c>
      <c r="F48" s="1579"/>
      <c r="G48" s="1579"/>
      <c r="H48" s="1579"/>
      <c r="I48" s="1579"/>
      <c r="J48" s="1579"/>
      <c r="K48" s="1579"/>
      <c r="L48" s="1579"/>
      <c r="M48" s="1579"/>
      <c r="N48" s="1579"/>
      <c r="O48" s="1572">
        <f t="shared" si="7"/>
        <v>0</v>
      </c>
    </row>
    <row r="49" spans="1:15">
      <c r="A49" s="1577"/>
      <c r="B49" s="1629" t="s">
        <v>37</v>
      </c>
      <c r="C49" s="1574">
        <v>8600</v>
      </c>
      <c r="D49" s="1571">
        <f>OTCHET!$E$519</f>
        <v>0</v>
      </c>
      <c r="E49" s="1571">
        <f>OTCHET!$L$519</f>
        <v>0</v>
      </c>
      <c r="F49" s="1579"/>
      <c r="G49" s="1579"/>
      <c r="H49" s="1579"/>
      <c r="I49" s="1579"/>
      <c r="J49" s="1579"/>
      <c r="K49" s="1579"/>
      <c r="L49" s="1579"/>
      <c r="M49" s="1579"/>
      <c r="N49" s="1579"/>
      <c r="O49" s="1572">
        <f t="shared" si="7"/>
        <v>0</v>
      </c>
    </row>
    <row r="50" spans="1:15" ht="25.5">
      <c r="A50" s="1577">
        <v>0</v>
      </c>
      <c r="B50" s="1630" t="s">
        <v>1946</v>
      </c>
      <c r="C50" s="1574">
        <v>8800</v>
      </c>
      <c r="D50" s="1571">
        <f>OTCHET!$E$527</f>
        <v>0</v>
      </c>
      <c r="E50" s="1571">
        <f>OTCHET!$L$527</f>
        <v>7723</v>
      </c>
      <c r="F50" s="1579"/>
      <c r="G50" s="1579"/>
      <c r="H50" s="1579"/>
      <c r="I50" s="1579"/>
      <c r="J50" s="1579"/>
      <c r="K50" s="1579"/>
      <c r="L50" s="1579"/>
      <c r="M50" s="1579"/>
      <c r="N50" s="1579"/>
      <c r="O50" s="1572">
        <f t="shared" si="7"/>
        <v>7723</v>
      </c>
    </row>
    <row r="51" spans="1:15">
      <c r="A51" s="1577">
        <v>0</v>
      </c>
      <c r="B51" s="1630" t="s">
        <v>1947</v>
      </c>
      <c r="C51" s="1574">
        <v>9000</v>
      </c>
      <c r="D51" s="1571">
        <f>OTCHET!$E$538</f>
        <v>0</v>
      </c>
      <c r="E51" s="1571">
        <f>OTCHET!$L$538</f>
        <v>0</v>
      </c>
      <c r="F51" s="1579"/>
      <c r="G51" s="1579"/>
      <c r="H51" s="1579"/>
      <c r="I51" s="1579"/>
      <c r="J51" s="1579"/>
      <c r="K51" s="1579"/>
      <c r="L51" s="1579"/>
      <c r="M51" s="1579"/>
      <c r="N51" s="1579"/>
      <c r="O51" s="1572">
        <f t="shared" si="7"/>
        <v>0</v>
      </c>
    </row>
    <row r="52" spans="1:15" ht="25.5">
      <c r="A52" s="1577"/>
      <c r="B52" s="1630" t="s">
        <v>1948</v>
      </c>
      <c r="C52" s="1574">
        <v>9100</v>
      </c>
      <c r="D52" s="1571">
        <f>OTCHET!$E$539</f>
        <v>0</v>
      </c>
      <c r="E52" s="1571">
        <f>OTCHET!$L$539</f>
        <v>0</v>
      </c>
      <c r="F52" s="1579"/>
      <c r="G52" s="1579"/>
      <c r="H52" s="1579"/>
      <c r="I52" s="1579"/>
      <c r="J52" s="1579"/>
      <c r="K52" s="1579"/>
      <c r="L52" s="1579"/>
      <c r="M52" s="1579"/>
      <c r="N52" s="1579"/>
      <c r="O52" s="1572">
        <f t="shared" si="7"/>
        <v>0</v>
      </c>
    </row>
    <row r="53" spans="1:15">
      <c r="A53" s="1577">
        <v>0</v>
      </c>
      <c r="B53" s="1631" t="s">
        <v>1949</v>
      </c>
      <c r="C53" s="1574">
        <v>9300</v>
      </c>
      <c r="D53" s="1624">
        <f>SUM(D54:D63)</f>
        <v>0</v>
      </c>
      <c r="E53" s="1624">
        <f t="shared" ref="E53:N53" si="8">SUM(E54:E63)</f>
        <v>0</v>
      </c>
      <c r="F53" s="1624">
        <f t="shared" si="8"/>
        <v>0</v>
      </c>
      <c r="G53" s="1624">
        <f t="shared" si="8"/>
        <v>0</v>
      </c>
      <c r="H53" s="1624">
        <f t="shared" si="8"/>
        <v>0</v>
      </c>
      <c r="I53" s="1624">
        <f t="shared" si="8"/>
        <v>0</v>
      </c>
      <c r="J53" s="1624">
        <f t="shared" si="8"/>
        <v>0</v>
      </c>
      <c r="K53" s="1624">
        <f t="shared" si="8"/>
        <v>0</v>
      </c>
      <c r="L53" s="1624">
        <f t="shared" si="8"/>
        <v>0</v>
      </c>
      <c r="M53" s="1624">
        <f t="shared" si="8"/>
        <v>0</v>
      </c>
      <c r="N53" s="1624">
        <f t="shared" si="8"/>
        <v>0</v>
      </c>
      <c r="O53" s="1625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577">
        <v>0</v>
      </c>
      <c r="B54" s="1626" t="s">
        <v>1950</v>
      </c>
      <c r="C54" s="1574">
        <v>9301</v>
      </c>
      <c r="D54" s="1571">
        <f>OTCHET!$E$548</f>
        <v>0</v>
      </c>
      <c r="E54" s="1571">
        <f>OTCHET!$L$548</f>
        <v>0</v>
      </c>
      <c r="F54" s="1579"/>
      <c r="G54" s="1579"/>
      <c r="H54" s="1579"/>
      <c r="I54" s="1579"/>
      <c r="J54" s="1579"/>
      <c r="K54" s="1579"/>
      <c r="L54" s="1579"/>
      <c r="M54" s="1579"/>
      <c r="N54" s="1579"/>
      <c r="O54" s="1572">
        <f t="shared" ref="O54:O63" si="9">SUM(E54:N54)</f>
        <v>0</v>
      </c>
    </row>
    <row r="55" spans="1:15" ht="25.5">
      <c r="A55" s="1577">
        <v>0</v>
      </c>
      <c r="B55" s="1626" t="s">
        <v>1951</v>
      </c>
      <c r="C55" s="1574">
        <v>9310</v>
      </c>
      <c r="D55" s="1571">
        <f>OTCHET!$E$549</f>
        <v>0</v>
      </c>
      <c r="E55" s="1571">
        <f>OTCHET!$L$549</f>
        <v>0</v>
      </c>
      <c r="F55" s="1579"/>
      <c r="G55" s="1579"/>
      <c r="H55" s="1579"/>
      <c r="I55" s="1579"/>
      <c r="J55" s="1579"/>
      <c r="K55" s="1579"/>
      <c r="L55" s="1579"/>
      <c r="M55" s="1579"/>
      <c r="N55" s="1579"/>
      <c r="O55" s="1572">
        <f t="shared" si="9"/>
        <v>0</v>
      </c>
    </row>
    <row r="56" spans="1:15">
      <c r="A56" s="1577">
        <v>0</v>
      </c>
      <c r="B56" s="1626" t="s">
        <v>1952</v>
      </c>
      <c r="C56" s="1574">
        <v>9317</v>
      </c>
      <c r="D56" s="1571">
        <f>OTCHET!$E$550</f>
        <v>0</v>
      </c>
      <c r="E56" s="1571">
        <f>OTCHET!$L$550</f>
        <v>0</v>
      </c>
      <c r="F56" s="1579"/>
      <c r="G56" s="1579"/>
      <c r="H56" s="1579"/>
      <c r="I56" s="1579"/>
      <c r="J56" s="1579"/>
      <c r="K56" s="1579"/>
      <c r="L56" s="1579"/>
      <c r="M56" s="1579"/>
      <c r="N56" s="1579"/>
      <c r="O56" s="1572">
        <f t="shared" si="9"/>
        <v>0</v>
      </c>
    </row>
    <row r="57" spans="1:15">
      <c r="A57" s="1577">
        <v>0</v>
      </c>
      <c r="B57" s="1626" t="s">
        <v>1953</v>
      </c>
      <c r="C57" s="1574">
        <v>9318</v>
      </c>
      <c r="D57" s="1571">
        <f>OTCHET!$E$551</f>
        <v>0</v>
      </c>
      <c r="E57" s="1571">
        <f>OTCHET!$L$551</f>
        <v>0</v>
      </c>
      <c r="F57" s="1579"/>
      <c r="G57" s="1579"/>
      <c r="H57" s="1579"/>
      <c r="I57" s="1579"/>
      <c r="J57" s="1579"/>
      <c r="K57" s="1579"/>
      <c r="L57" s="1579"/>
      <c r="M57" s="1579"/>
      <c r="N57" s="1579"/>
      <c r="O57" s="1572">
        <f t="shared" si="9"/>
        <v>0</v>
      </c>
    </row>
    <row r="58" spans="1:15" ht="38.25">
      <c r="A58" s="1577">
        <v>0</v>
      </c>
      <c r="B58" s="1626" t="s">
        <v>1954</v>
      </c>
      <c r="C58" s="1574">
        <v>9336</v>
      </c>
      <c r="D58" s="1571">
        <f>OTCHET!$E$561</f>
        <v>0</v>
      </c>
      <c r="E58" s="1571">
        <f>OTCHET!$L$561</f>
        <v>0</v>
      </c>
      <c r="F58" s="1579"/>
      <c r="G58" s="1579"/>
      <c r="H58" s="1579"/>
      <c r="I58" s="1579"/>
      <c r="J58" s="1579"/>
      <c r="K58" s="1579"/>
      <c r="L58" s="1579"/>
      <c r="M58" s="1579"/>
      <c r="N58" s="1579"/>
      <c r="O58" s="1572">
        <f t="shared" si="9"/>
        <v>0</v>
      </c>
    </row>
    <row r="59" spans="1:15" ht="38.25">
      <c r="A59" s="1577">
        <v>0</v>
      </c>
      <c r="B59" s="1626" t="s">
        <v>1955</v>
      </c>
      <c r="C59" s="1574">
        <v>9337</v>
      </c>
      <c r="D59" s="1571">
        <f>OTCHET!$E$562</f>
        <v>0</v>
      </c>
      <c r="E59" s="1571">
        <f>OTCHET!$L$562</f>
        <v>0</v>
      </c>
      <c r="F59" s="1579"/>
      <c r="G59" s="1579"/>
      <c r="H59" s="1579"/>
      <c r="I59" s="1579"/>
      <c r="J59" s="1579"/>
      <c r="K59" s="1579"/>
      <c r="L59" s="1579"/>
      <c r="M59" s="1579"/>
      <c r="N59" s="1579"/>
      <c r="O59" s="1572">
        <f t="shared" si="9"/>
        <v>0</v>
      </c>
    </row>
    <row r="60" spans="1:15">
      <c r="A60" s="1577">
        <v>0</v>
      </c>
      <c r="B60" s="1626" t="s">
        <v>1956</v>
      </c>
      <c r="C60" s="1574">
        <v>9338</v>
      </c>
      <c r="D60" s="1571">
        <f>OTCHET!$E$563</f>
        <v>0</v>
      </c>
      <c r="E60" s="1571">
        <f>OTCHET!$L$563</f>
        <v>0</v>
      </c>
      <c r="F60" s="1579"/>
      <c r="G60" s="1579"/>
      <c r="H60" s="1579"/>
      <c r="I60" s="1579"/>
      <c r="J60" s="1579"/>
      <c r="K60" s="1579"/>
      <c r="L60" s="1579"/>
      <c r="M60" s="1579"/>
      <c r="N60" s="1579"/>
      <c r="O60" s="1572">
        <f t="shared" si="9"/>
        <v>0</v>
      </c>
    </row>
    <row r="61" spans="1:15">
      <c r="A61" s="1577">
        <v>0</v>
      </c>
      <c r="B61" s="1626" t="s">
        <v>1957</v>
      </c>
      <c r="C61" s="1574">
        <v>9339</v>
      </c>
      <c r="D61" s="1571">
        <f>OTCHET!$E$564</f>
        <v>0</v>
      </c>
      <c r="E61" s="1571">
        <f>OTCHET!$L$564</f>
        <v>0</v>
      </c>
      <c r="F61" s="1579"/>
      <c r="G61" s="1579"/>
      <c r="H61" s="1579"/>
      <c r="I61" s="1579"/>
      <c r="J61" s="1579"/>
      <c r="K61" s="1579"/>
      <c r="L61" s="1579"/>
      <c r="M61" s="1579"/>
      <c r="N61" s="1579"/>
      <c r="O61" s="1572">
        <f t="shared" si="9"/>
        <v>0</v>
      </c>
    </row>
    <row r="62" spans="1:15" ht="25.5">
      <c r="A62" s="1577">
        <v>0</v>
      </c>
      <c r="B62" s="1626" t="s">
        <v>1958</v>
      </c>
      <c r="C62" s="1574">
        <v>9395</v>
      </c>
      <c r="D62" s="1571">
        <f>OTCHET!$E$567</f>
        <v>0</v>
      </c>
      <c r="E62" s="1571">
        <f>OTCHET!$L$567</f>
        <v>0</v>
      </c>
      <c r="F62" s="1579"/>
      <c r="G62" s="1579"/>
      <c r="H62" s="1579"/>
      <c r="I62" s="1579"/>
      <c r="J62" s="1579"/>
      <c r="K62" s="1579"/>
      <c r="L62" s="1579"/>
      <c r="M62" s="1579"/>
      <c r="N62" s="1579"/>
      <c r="O62" s="1572">
        <f t="shared" si="9"/>
        <v>0</v>
      </c>
    </row>
    <row r="63" spans="1:15" ht="25.5">
      <c r="A63" s="1577">
        <v>0</v>
      </c>
      <c r="B63" s="1626" t="s">
        <v>1959</v>
      </c>
      <c r="C63" s="1574">
        <v>9396</v>
      </c>
      <c r="D63" s="1571">
        <f>OTCHET!$E$568</f>
        <v>0</v>
      </c>
      <c r="E63" s="1571">
        <f>OTCHET!$L$568</f>
        <v>0</v>
      </c>
      <c r="F63" s="1579"/>
      <c r="G63" s="1579"/>
      <c r="H63" s="1579"/>
      <c r="I63" s="1579"/>
      <c r="J63" s="1579"/>
      <c r="K63" s="1579"/>
      <c r="L63" s="1579"/>
      <c r="M63" s="1579"/>
      <c r="N63" s="1579"/>
      <c r="O63" s="1572">
        <f t="shared" si="9"/>
        <v>0</v>
      </c>
    </row>
    <row r="64" spans="1:15">
      <c r="A64" s="1577">
        <v>0</v>
      </c>
      <c r="B64" s="1623" t="s">
        <v>1960</v>
      </c>
      <c r="C64" s="1574">
        <v>9500</v>
      </c>
      <c r="D64" s="1624">
        <f>+D65+D68+D66+D67</f>
        <v>0</v>
      </c>
      <c r="E64" s="1624">
        <f t="shared" ref="E64:N64" si="10">+E65+E68+E66+E67</f>
        <v>0</v>
      </c>
      <c r="F64" s="1624">
        <f t="shared" si="10"/>
        <v>0</v>
      </c>
      <c r="G64" s="1624">
        <f t="shared" si="10"/>
        <v>0</v>
      </c>
      <c r="H64" s="1624">
        <f t="shared" si="10"/>
        <v>0</v>
      </c>
      <c r="I64" s="1624">
        <f t="shared" si="10"/>
        <v>0</v>
      </c>
      <c r="J64" s="1624">
        <f t="shared" si="10"/>
        <v>0</v>
      </c>
      <c r="K64" s="1624">
        <f t="shared" si="10"/>
        <v>0</v>
      </c>
      <c r="L64" s="1624">
        <f t="shared" si="10"/>
        <v>0</v>
      </c>
      <c r="M64" s="1624">
        <f t="shared" si="10"/>
        <v>0</v>
      </c>
      <c r="N64" s="1624">
        <f t="shared" si="10"/>
        <v>0</v>
      </c>
      <c r="O64" s="1625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0</v>
      </c>
    </row>
    <row r="65" spans="1:23" ht="25.5">
      <c r="A65" s="1577">
        <v>0</v>
      </c>
      <c r="B65" s="1626" t="s">
        <v>2164</v>
      </c>
      <c r="C65" s="1593">
        <v>9501</v>
      </c>
      <c r="D65" s="1571">
        <f>SUM(OTCHET!$E$570:'OTCHET'!$E$575,OTCHET!$E$590:'OTCHET'!$E$591)</f>
        <v>0</v>
      </c>
      <c r="E65" s="1571">
        <f>SUM(OTCHET!$L$570:'OTCHET'!$L$575,OTCHET!$L$590:'OTCHET'!$L$591)</f>
        <v>0</v>
      </c>
      <c r="F65" s="1571"/>
      <c r="G65" s="1571"/>
      <c r="H65" s="1571"/>
      <c r="I65" s="1571"/>
      <c r="J65" s="1571"/>
      <c r="K65" s="1571"/>
      <c r="L65" s="1571"/>
      <c r="M65" s="1571"/>
      <c r="N65" s="1571"/>
      <c r="O65" s="1572">
        <f>$E$65</f>
        <v>0</v>
      </c>
    </row>
    <row r="66" spans="1:23" ht="25.5">
      <c r="A66" s="1577"/>
      <c r="B66" s="1627" t="s">
        <v>2165</v>
      </c>
      <c r="C66" s="1593">
        <v>9507</v>
      </c>
      <c r="D66" s="1571">
        <f>SUM(OTCHET!$E$576:'OTCHET'!$E$581,OTCHET!$E$592:'OTCHET'!$E$593)</f>
        <v>0</v>
      </c>
      <c r="E66" s="1571">
        <f>SUM(OTCHET!$L$576:'OTCHET'!$L$581,OTCHET!$L$592:'OTCHET'!$L$593)</f>
        <v>0</v>
      </c>
      <c r="F66" s="1579"/>
      <c r="G66" s="1579"/>
      <c r="H66" s="1579"/>
      <c r="I66" s="1579"/>
      <c r="J66" s="1579"/>
      <c r="K66" s="1579"/>
      <c r="L66" s="1579"/>
      <c r="M66" s="1579"/>
      <c r="N66" s="1579"/>
      <c r="O66" s="1572">
        <f>SUM(E66:N66)</f>
        <v>0</v>
      </c>
    </row>
    <row r="67" spans="1:23">
      <c r="A67" s="1577"/>
      <c r="B67" s="1627" t="s">
        <v>1961</v>
      </c>
      <c r="C67" s="1574">
        <v>9513</v>
      </c>
      <c r="D67" s="1571">
        <f>OTCHET!$E$582</f>
        <v>0</v>
      </c>
      <c r="E67" s="1571">
        <f>OTCHET!$L$582</f>
        <v>0</v>
      </c>
      <c r="F67" s="1579"/>
      <c r="G67" s="1579"/>
      <c r="H67" s="1579"/>
      <c r="I67" s="1579"/>
      <c r="J67" s="1579"/>
      <c r="K67" s="1579"/>
      <c r="L67" s="1579"/>
      <c r="M67" s="1579"/>
      <c r="N67" s="1579"/>
      <c r="O67" s="1572">
        <f>SUM(E67:N67)</f>
        <v>0</v>
      </c>
    </row>
    <row r="68" spans="1:23" ht="26.25" thickBot="1">
      <c r="A68" s="1577">
        <v>0</v>
      </c>
      <c r="B68" s="1632" t="s">
        <v>1962</v>
      </c>
      <c r="C68" s="1633">
        <v>9514</v>
      </c>
      <c r="D68" s="1634">
        <f>OTCHET!$E$583</f>
        <v>0</v>
      </c>
      <c r="E68" s="1634">
        <f>OTCHET!$L$583</f>
        <v>0</v>
      </c>
      <c r="F68" s="1635"/>
      <c r="G68" s="1635"/>
      <c r="H68" s="1635"/>
      <c r="I68" s="1635"/>
      <c r="J68" s="1635"/>
      <c r="K68" s="1635"/>
      <c r="L68" s="1635"/>
      <c r="M68" s="1635"/>
      <c r="N68" s="1635"/>
      <c r="O68" s="1636">
        <f>SUM(E68:N68)</f>
        <v>0</v>
      </c>
    </row>
    <row r="69" spans="1:23">
      <c r="C69" s="1637" t="s">
        <v>1963</v>
      </c>
    </row>
    <row r="71" spans="1:23" ht="15.75">
      <c r="B71" s="1638" t="s">
        <v>1964</v>
      </c>
    </row>
    <row r="72" spans="1:23" ht="28.5" customHeight="1">
      <c r="B72" s="2039" t="s">
        <v>1965</v>
      </c>
      <c r="C72" s="2039"/>
      <c r="D72" s="2039"/>
      <c r="E72" s="2039"/>
      <c r="F72" s="2039"/>
      <c r="G72" s="2039"/>
      <c r="H72" s="2039"/>
      <c r="I72" s="2039"/>
      <c r="J72" s="2039"/>
      <c r="K72" s="2039"/>
      <c r="L72" s="2039"/>
      <c r="M72" s="2039"/>
      <c r="N72" s="2039"/>
      <c r="O72" s="2039"/>
    </row>
    <row r="73" spans="1:23" ht="63" customHeight="1">
      <c r="B73" s="2039" t="s">
        <v>2180</v>
      </c>
      <c r="C73" s="2039"/>
      <c r="D73" s="2039"/>
      <c r="E73" s="2039"/>
      <c r="F73" s="2039"/>
      <c r="G73" s="2039"/>
      <c r="H73" s="2039"/>
      <c r="I73" s="2039"/>
      <c r="J73" s="2039"/>
      <c r="K73" s="2039"/>
      <c r="L73" s="2039"/>
      <c r="M73" s="2039"/>
      <c r="N73" s="2039"/>
      <c r="O73" s="2039"/>
      <c r="P73" s="1639"/>
      <c r="Q73" s="1639"/>
      <c r="R73" s="1639"/>
      <c r="S73" s="1639"/>
      <c r="T73" s="1639"/>
      <c r="U73" s="1639"/>
      <c r="V73" s="1639"/>
      <c r="W73" s="1639"/>
    </row>
    <row r="74" spans="1:23" ht="31.5" customHeight="1">
      <c r="B74" s="2039" t="s">
        <v>2181</v>
      </c>
      <c r="C74" s="2039"/>
      <c r="D74" s="2039"/>
      <c r="E74" s="2039"/>
      <c r="F74" s="2039"/>
      <c r="G74" s="2039"/>
      <c r="H74" s="2039"/>
      <c r="I74" s="2039"/>
      <c r="J74" s="2039"/>
      <c r="K74" s="2039"/>
      <c r="L74" s="2039"/>
      <c r="M74" s="2039"/>
      <c r="N74" s="2039"/>
      <c r="O74" s="2039"/>
      <c r="P74" s="1639"/>
      <c r="Q74" s="1639"/>
      <c r="R74" s="1639"/>
      <c r="S74" s="1639"/>
      <c r="T74" s="1639"/>
      <c r="U74" s="1639"/>
      <c r="V74" s="1639"/>
      <c r="W74" s="1639"/>
    </row>
    <row r="75" spans="1:23" ht="55.5" customHeight="1">
      <c r="B75" s="2039" t="s">
        <v>1976</v>
      </c>
      <c r="C75" s="2039"/>
      <c r="D75" s="2039"/>
      <c r="E75" s="2039"/>
      <c r="F75" s="2039"/>
      <c r="G75" s="2039"/>
      <c r="H75" s="2039"/>
      <c r="I75" s="2039"/>
      <c r="J75" s="2039"/>
      <c r="K75" s="2039"/>
      <c r="L75" s="2039"/>
      <c r="M75" s="2039"/>
      <c r="N75" s="2039"/>
      <c r="O75" s="2039"/>
      <c r="P75" s="1639"/>
      <c r="Q75" s="1639"/>
      <c r="R75" s="1639"/>
      <c r="S75" s="1639"/>
      <c r="T75" s="1639"/>
      <c r="U75" s="1639"/>
      <c r="V75" s="1639"/>
      <c r="W75" s="1639"/>
    </row>
    <row r="76" spans="1:23" ht="33.75" customHeight="1">
      <c r="B76" s="2039" t="s">
        <v>1966</v>
      </c>
      <c r="C76" s="2039"/>
      <c r="D76" s="2039"/>
      <c r="E76" s="2039"/>
      <c r="F76" s="2039"/>
      <c r="G76" s="2039"/>
      <c r="H76" s="2039"/>
      <c r="I76" s="2039"/>
      <c r="J76" s="2039"/>
      <c r="K76" s="2039"/>
      <c r="L76" s="2039"/>
      <c r="M76" s="2039"/>
      <c r="N76" s="2039"/>
      <c r="O76" s="2039"/>
      <c r="P76" s="1639"/>
      <c r="Q76" s="1639"/>
      <c r="R76" s="1639"/>
      <c r="S76" s="1639"/>
      <c r="T76" s="1639"/>
      <c r="U76" s="1639"/>
      <c r="V76" s="1639"/>
      <c r="W76" s="1639"/>
    </row>
    <row r="77" spans="1:23" ht="32.25" customHeight="1">
      <c r="B77" s="2039" t="s">
        <v>2182</v>
      </c>
      <c r="C77" s="2039"/>
      <c r="D77" s="2039"/>
      <c r="E77" s="2039"/>
      <c r="F77" s="2039"/>
      <c r="G77" s="2039"/>
      <c r="H77" s="2039"/>
      <c r="I77" s="2039"/>
      <c r="J77" s="2039"/>
      <c r="K77" s="2039"/>
      <c r="L77" s="2039"/>
      <c r="M77" s="2039"/>
      <c r="N77" s="2039"/>
      <c r="O77" s="2039"/>
      <c r="P77" s="1639"/>
      <c r="Q77" s="1639"/>
      <c r="R77" s="1639"/>
      <c r="S77" s="1639"/>
      <c r="T77" s="1639"/>
      <c r="U77" s="1639"/>
      <c r="V77" s="1639"/>
      <c r="W77" s="1639"/>
    </row>
  </sheetData>
  <sheetProtection password="81B0" sheet="1" objects="1"/>
  <mergeCells count="11">
    <mergeCell ref="B77:O77"/>
    <mergeCell ref="B72:O72"/>
    <mergeCell ref="B73:O73"/>
    <mergeCell ref="B74:O74"/>
    <mergeCell ref="B75:O75"/>
    <mergeCell ref="B76:O76"/>
    <mergeCell ref="B1:E1"/>
    <mergeCell ref="B4:B7"/>
    <mergeCell ref="C4:C7"/>
    <mergeCell ref="F4:N4"/>
    <mergeCell ref="O4:O5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21" workbookViewId="0">
      <selection activeCell="B730" sqref="B730"/>
    </sheetView>
  </sheetViews>
  <sheetFormatPr defaultRowHeight="14.25"/>
  <cols>
    <col min="1" max="1" width="58.28515625" style="1780" customWidth="1"/>
    <col min="2" max="2" width="105.85546875" style="1780" customWidth="1"/>
    <col min="3" max="5" width="48.140625" style="1780" customWidth="1"/>
    <col min="6" max="16384" width="9.140625" style="1780"/>
  </cols>
  <sheetData>
    <row r="1" spans="1:3">
      <c r="A1" s="1779" t="s">
        <v>780</v>
      </c>
      <c r="B1" s="1779" t="s">
        <v>784</v>
      </c>
      <c r="C1" s="1779"/>
    </row>
    <row r="2" spans="1:3" ht="31.5" customHeight="1">
      <c r="A2" s="1781">
        <v>0</v>
      </c>
      <c r="B2" s="1782" t="s">
        <v>1193</v>
      </c>
      <c r="C2" s="1783" t="s">
        <v>1646</v>
      </c>
    </row>
    <row r="3" spans="1:3" ht="35.25" customHeight="1">
      <c r="A3" s="1781">
        <v>33</v>
      </c>
      <c r="B3" s="1782" t="s">
        <v>1194</v>
      </c>
      <c r="C3" s="1784" t="s">
        <v>1647</v>
      </c>
    </row>
    <row r="4" spans="1:3" ht="35.25" customHeight="1">
      <c r="A4" s="1781">
        <v>42</v>
      </c>
      <c r="B4" s="1782" t="s">
        <v>1195</v>
      </c>
      <c r="C4" s="1785" t="s">
        <v>1648</v>
      </c>
    </row>
    <row r="5" spans="1:3" ht="19.5">
      <c r="A5" s="1781">
        <v>96</v>
      </c>
      <c r="B5" s="1782" t="s">
        <v>1196</v>
      </c>
      <c r="C5" s="1785" t="s">
        <v>1649</v>
      </c>
    </row>
    <row r="6" spans="1:3" ht="19.5">
      <c r="A6" s="1781">
        <v>97</v>
      </c>
      <c r="B6" s="1782" t="s">
        <v>1197</v>
      </c>
      <c r="C6" s="1785" t="s">
        <v>1650</v>
      </c>
    </row>
    <row r="7" spans="1:3" ht="19.5">
      <c r="A7" s="1781">
        <v>98</v>
      </c>
      <c r="B7" s="1782" t="s">
        <v>1198</v>
      </c>
      <c r="C7" s="1785" t="s">
        <v>1651</v>
      </c>
    </row>
    <row r="8" spans="1:3" ht="15">
      <c r="A8" s="1786"/>
      <c r="B8" s="1786"/>
      <c r="C8" s="1786"/>
    </row>
    <row r="9" spans="1:3" ht="15.75">
      <c r="A9" s="1787"/>
      <c r="B9" s="1787"/>
      <c r="C9" s="1788"/>
    </row>
    <row r="10" spans="1:3">
      <c r="A10" s="1650" t="s">
        <v>780</v>
      </c>
      <c r="B10" s="1650" t="s">
        <v>783</v>
      </c>
      <c r="C10" s="1650"/>
    </row>
    <row r="11" spans="1:3">
      <c r="A11" s="1651"/>
      <c r="B11" s="1651" t="s">
        <v>370</v>
      </c>
      <c r="C11" s="1651"/>
    </row>
    <row r="12" spans="1:3" ht="15.75">
      <c r="A12" s="1789">
        <v>1101</v>
      </c>
      <c r="B12" s="1790" t="s">
        <v>371</v>
      </c>
      <c r="C12" s="1789">
        <v>1101</v>
      </c>
    </row>
    <row r="13" spans="1:3" ht="15.75">
      <c r="A13" s="1789">
        <v>1103</v>
      </c>
      <c r="B13" s="1791" t="s">
        <v>372</v>
      </c>
      <c r="C13" s="1789">
        <v>1103</v>
      </c>
    </row>
    <row r="14" spans="1:3" ht="15.75">
      <c r="A14" s="1789">
        <v>1104</v>
      </c>
      <c r="B14" s="1792" t="s">
        <v>373</v>
      </c>
      <c r="C14" s="1789">
        <v>1104</v>
      </c>
    </row>
    <row r="15" spans="1:3" ht="15.75">
      <c r="A15" s="1789">
        <v>1105</v>
      </c>
      <c r="B15" s="1792" t="s">
        <v>374</v>
      </c>
      <c r="C15" s="1789">
        <v>1105</v>
      </c>
    </row>
    <row r="16" spans="1:3" ht="15.75">
      <c r="A16" s="1789">
        <v>1106</v>
      </c>
      <c r="B16" s="1792" t="s">
        <v>375</v>
      </c>
      <c r="C16" s="1789">
        <v>1106</v>
      </c>
    </row>
    <row r="17" spans="1:3" ht="15.75">
      <c r="A17" s="1789">
        <v>1107</v>
      </c>
      <c r="B17" s="1792" t="s">
        <v>376</v>
      </c>
      <c r="C17" s="1789">
        <v>1107</v>
      </c>
    </row>
    <row r="18" spans="1:3" ht="15.75">
      <c r="A18" s="1789">
        <v>1108</v>
      </c>
      <c r="B18" s="1792" t="s">
        <v>377</v>
      </c>
      <c r="C18" s="1789">
        <v>1108</v>
      </c>
    </row>
    <row r="19" spans="1:3" ht="15.75">
      <c r="A19" s="1789">
        <v>1111</v>
      </c>
      <c r="B19" s="1793" t="s">
        <v>378</v>
      </c>
      <c r="C19" s="1789">
        <v>1111</v>
      </c>
    </row>
    <row r="20" spans="1:3" ht="15.75">
      <c r="A20" s="1789">
        <v>1115</v>
      </c>
      <c r="B20" s="1793" t="s">
        <v>379</v>
      </c>
      <c r="C20" s="1789">
        <v>1115</v>
      </c>
    </row>
    <row r="21" spans="1:3" ht="15.75">
      <c r="A21" s="1789">
        <v>1116</v>
      </c>
      <c r="B21" s="1793" t="s">
        <v>380</v>
      </c>
      <c r="C21" s="1789">
        <v>1116</v>
      </c>
    </row>
    <row r="22" spans="1:3" ht="15.75">
      <c r="A22" s="1789">
        <v>1117</v>
      </c>
      <c r="B22" s="1793" t="s">
        <v>381</v>
      </c>
      <c r="C22" s="1789">
        <v>1117</v>
      </c>
    </row>
    <row r="23" spans="1:3" ht="15.75">
      <c r="A23" s="1789">
        <v>1121</v>
      </c>
      <c r="B23" s="1792" t="s">
        <v>382</v>
      </c>
      <c r="C23" s="1789">
        <v>1121</v>
      </c>
    </row>
    <row r="24" spans="1:3" ht="15.75">
      <c r="A24" s="1789">
        <v>1122</v>
      </c>
      <c r="B24" s="1792" t="s">
        <v>383</v>
      </c>
      <c r="C24" s="1789">
        <v>1122</v>
      </c>
    </row>
    <row r="25" spans="1:3" ht="15.75">
      <c r="A25" s="1789">
        <v>1123</v>
      </c>
      <c r="B25" s="1792" t="s">
        <v>384</v>
      </c>
      <c r="C25" s="1789">
        <v>1123</v>
      </c>
    </row>
    <row r="26" spans="1:3" ht="15.75">
      <c r="A26" s="1789">
        <v>1125</v>
      </c>
      <c r="B26" s="1794" t="s">
        <v>385</v>
      </c>
      <c r="C26" s="1789">
        <v>1125</v>
      </c>
    </row>
    <row r="27" spans="1:3" ht="15.75">
      <c r="A27" s="1789">
        <v>1128</v>
      </c>
      <c r="B27" s="1792" t="s">
        <v>386</v>
      </c>
      <c r="C27" s="1789">
        <v>1128</v>
      </c>
    </row>
    <row r="28" spans="1:3" ht="15.75">
      <c r="A28" s="1789">
        <v>1139</v>
      </c>
      <c r="B28" s="1795" t="s">
        <v>387</v>
      </c>
      <c r="C28" s="1789">
        <v>1139</v>
      </c>
    </row>
    <row r="29" spans="1:3" ht="15.75">
      <c r="A29" s="1789">
        <v>1141</v>
      </c>
      <c r="B29" s="1793" t="s">
        <v>388</v>
      </c>
      <c r="C29" s="1789">
        <v>1141</v>
      </c>
    </row>
    <row r="30" spans="1:3" ht="15.75">
      <c r="A30" s="1789">
        <v>1142</v>
      </c>
      <c r="B30" s="1792" t="s">
        <v>389</v>
      </c>
      <c r="C30" s="1789">
        <v>1142</v>
      </c>
    </row>
    <row r="31" spans="1:3" ht="15.75">
      <c r="A31" s="1789">
        <v>1143</v>
      </c>
      <c r="B31" s="1793" t="s">
        <v>390</v>
      </c>
      <c r="C31" s="1789">
        <v>1143</v>
      </c>
    </row>
    <row r="32" spans="1:3" ht="15.75">
      <c r="A32" s="1789">
        <v>1144</v>
      </c>
      <c r="B32" s="1793" t="s">
        <v>391</v>
      </c>
      <c r="C32" s="1789">
        <v>1144</v>
      </c>
    </row>
    <row r="33" spans="1:3" ht="15.75">
      <c r="A33" s="1789">
        <v>1145</v>
      </c>
      <c r="B33" s="1792" t="s">
        <v>392</v>
      </c>
      <c r="C33" s="1789">
        <v>1145</v>
      </c>
    </row>
    <row r="34" spans="1:3" ht="15.75">
      <c r="A34" s="1789">
        <v>1146</v>
      </c>
      <c r="B34" s="1793" t="s">
        <v>393</v>
      </c>
      <c r="C34" s="1789">
        <v>1146</v>
      </c>
    </row>
    <row r="35" spans="1:3" ht="15.75">
      <c r="A35" s="1789">
        <v>1147</v>
      </c>
      <c r="B35" s="1793" t="s">
        <v>394</v>
      </c>
      <c r="C35" s="1789">
        <v>1147</v>
      </c>
    </row>
    <row r="36" spans="1:3" ht="15.75">
      <c r="A36" s="1789">
        <v>1148</v>
      </c>
      <c r="B36" s="1793" t="s">
        <v>395</v>
      </c>
      <c r="C36" s="1789">
        <v>1148</v>
      </c>
    </row>
    <row r="37" spans="1:3" ht="15.75">
      <c r="A37" s="1789">
        <v>1149</v>
      </c>
      <c r="B37" s="1793" t="s">
        <v>396</v>
      </c>
      <c r="C37" s="1789">
        <v>1149</v>
      </c>
    </row>
    <row r="38" spans="1:3" ht="15.75">
      <c r="A38" s="1789">
        <v>1151</v>
      </c>
      <c r="B38" s="1793" t="s">
        <v>397</v>
      </c>
      <c r="C38" s="1789">
        <v>1151</v>
      </c>
    </row>
    <row r="39" spans="1:3" ht="15.75">
      <c r="A39" s="1789">
        <v>1158</v>
      </c>
      <c r="B39" s="1792" t="s">
        <v>398</v>
      </c>
      <c r="C39" s="1789">
        <v>1158</v>
      </c>
    </row>
    <row r="40" spans="1:3" ht="15.75">
      <c r="A40" s="1789">
        <v>1161</v>
      </c>
      <c r="B40" s="1792" t="s">
        <v>399</v>
      </c>
      <c r="C40" s="1789">
        <v>1161</v>
      </c>
    </row>
    <row r="41" spans="1:3" ht="15.75">
      <c r="A41" s="1789">
        <v>1162</v>
      </c>
      <c r="B41" s="1792" t="s">
        <v>400</v>
      </c>
      <c r="C41" s="1789">
        <v>1162</v>
      </c>
    </row>
    <row r="42" spans="1:3" ht="15.75">
      <c r="A42" s="1789">
        <v>1163</v>
      </c>
      <c r="B42" s="1792" t="s">
        <v>401</v>
      </c>
      <c r="C42" s="1789">
        <v>1163</v>
      </c>
    </row>
    <row r="43" spans="1:3" ht="15.75">
      <c r="A43" s="1789">
        <v>1168</v>
      </c>
      <c r="B43" s="1792" t="s">
        <v>402</v>
      </c>
      <c r="C43" s="1789">
        <v>1168</v>
      </c>
    </row>
    <row r="44" spans="1:3" ht="15.75">
      <c r="A44" s="1789">
        <v>1179</v>
      </c>
      <c r="B44" s="1793" t="s">
        <v>403</v>
      </c>
      <c r="C44" s="1789">
        <v>1179</v>
      </c>
    </row>
    <row r="45" spans="1:3" ht="15.75">
      <c r="A45" s="1789">
        <v>2201</v>
      </c>
      <c r="B45" s="1793" t="s">
        <v>404</v>
      </c>
      <c r="C45" s="1789">
        <v>2201</v>
      </c>
    </row>
    <row r="46" spans="1:3" ht="15.75">
      <c r="A46" s="1789">
        <v>2205</v>
      </c>
      <c r="B46" s="1792" t="s">
        <v>405</v>
      </c>
      <c r="C46" s="1789">
        <v>2205</v>
      </c>
    </row>
    <row r="47" spans="1:3" ht="15.75">
      <c r="A47" s="1789">
        <v>2206</v>
      </c>
      <c r="B47" s="1795" t="s">
        <v>406</v>
      </c>
      <c r="C47" s="1789">
        <v>2206</v>
      </c>
    </row>
    <row r="48" spans="1:3" ht="15.75">
      <c r="A48" s="1789">
        <v>2215</v>
      </c>
      <c r="B48" s="1792" t="s">
        <v>407</v>
      </c>
      <c r="C48" s="1789">
        <v>2215</v>
      </c>
    </row>
    <row r="49" spans="1:3" ht="15.75">
      <c r="A49" s="1789">
        <v>2218</v>
      </c>
      <c r="B49" s="1792" t="s">
        <v>408</v>
      </c>
      <c r="C49" s="1789">
        <v>2218</v>
      </c>
    </row>
    <row r="50" spans="1:3" ht="15.75">
      <c r="A50" s="1789">
        <v>2219</v>
      </c>
      <c r="B50" s="1792" t="s">
        <v>409</v>
      </c>
      <c r="C50" s="1789">
        <v>2219</v>
      </c>
    </row>
    <row r="51" spans="1:3" ht="15.75">
      <c r="A51" s="1789">
        <v>2221</v>
      </c>
      <c r="B51" s="1793" t="s">
        <v>410</v>
      </c>
      <c r="C51" s="1789">
        <v>2221</v>
      </c>
    </row>
    <row r="52" spans="1:3" ht="15.75">
      <c r="A52" s="1789">
        <v>2222</v>
      </c>
      <c r="B52" s="1796" t="s">
        <v>411</v>
      </c>
      <c r="C52" s="1789">
        <v>2222</v>
      </c>
    </row>
    <row r="53" spans="1:3" ht="15.75">
      <c r="A53" s="1789">
        <v>2223</v>
      </c>
      <c r="B53" s="1796" t="s">
        <v>2001</v>
      </c>
      <c r="C53" s="1789">
        <v>2223</v>
      </c>
    </row>
    <row r="54" spans="1:3" ht="15.75">
      <c r="A54" s="1789">
        <v>2224</v>
      </c>
      <c r="B54" s="1795" t="s">
        <v>412</v>
      </c>
      <c r="C54" s="1789">
        <v>2224</v>
      </c>
    </row>
    <row r="55" spans="1:3" ht="15.75">
      <c r="A55" s="1789">
        <v>2225</v>
      </c>
      <c r="B55" s="1792" t="s">
        <v>413</v>
      </c>
      <c r="C55" s="1789">
        <v>2225</v>
      </c>
    </row>
    <row r="56" spans="1:3" ht="15.75">
      <c r="A56" s="1789">
        <v>2228</v>
      </c>
      <c r="B56" s="1792" t="s">
        <v>414</v>
      </c>
      <c r="C56" s="1789">
        <v>2228</v>
      </c>
    </row>
    <row r="57" spans="1:3" ht="15.75">
      <c r="A57" s="1789">
        <v>2239</v>
      </c>
      <c r="B57" s="1793" t="s">
        <v>415</v>
      </c>
      <c r="C57" s="1789">
        <v>2239</v>
      </c>
    </row>
    <row r="58" spans="1:3" ht="15.75">
      <c r="A58" s="1789">
        <v>2241</v>
      </c>
      <c r="B58" s="1796" t="s">
        <v>416</v>
      </c>
      <c r="C58" s="1789">
        <v>2241</v>
      </c>
    </row>
    <row r="59" spans="1:3" ht="15.75">
      <c r="A59" s="1789">
        <v>2242</v>
      </c>
      <c r="B59" s="1796" t="s">
        <v>417</v>
      </c>
      <c r="C59" s="1789">
        <v>2242</v>
      </c>
    </row>
    <row r="60" spans="1:3" ht="15.75">
      <c r="A60" s="1789">
        <v>2243</v>
      </c>
      <c r="B60" s="1796" t="s">
        <v>418</v>
      </c>
      <c r="C60" s="1789">
        <v>2243</v>
      </c>
    </row>
    <row r="61" spans="1:3" ht="15.75">
      <c r="A61" s="1789">
        <v>2244</v>
      </c>
      <c r="B61" s="1796" t="s">
        <v>419</v>
      </c>
      <c r="C61" s="1789">
        <v>2244</v>
      </c>
    </row>
    <row r="62" spans="1:3" ht="15.75">
      <c r="A62" s="1789">
        <v>2245</v>
      </c>
      <c r="B62" s="1797" t="s">
        <v>420</v>
      </c>
      <c r="C62" s="1789">
        <v>2245</v>
      </c>
    </row>
    <row r="63" spans="1:3" ht="15.75">
      <c r="A63" s="1789">
        <v>2246</v>
      </c>
      <c r="B63" s="1796" t="s">
        <v>421</v>
      </c>
      <c r="C63" s="1789">
        <v>2246</v>
      </c>
    </row>
    <row r="64" spans="1:3" ht="15.75">
      <c r="A64" s="1789">
        <v>2247</v>
      </c>
      <c r="B64" s="1796" t="s">
        <v>422</v>
      </c>
      <c r="C64" s="1789">
        <v>2247</v>
      </c>
    </row>
    <row r="65" spans="1:3" ht="15.75">
      <c r="A65" s="1789">
        <v>2248</v>
      </c>
      <c r="B65" s="1796" t="s">
        <v>423</v>
      </c>
      <c r="C65" s="1789">
        <v>2248</v>
      </c>
    </row>
    <row r="66" spans="1:3" ht="15.75">
      <c r="A66" s="1789">
        <v>2249</v>
      </c>
      <c r="B66" s="1796" t="s">
        <v>424</v>
      </c>
      <c r="C66" s="1789">
        <v>2249</v>
      </c>
    </row>
    <row r="67" spans="1:3" ht="15.75">
      <c r="A67" s="1789">
        <v>2258</v>
      </c>
      <c r="B67" s="1792" t="s">
        <v>425</v>
      </c>
      <c r="C67" s="1789">
        <v>2258</v>
      </c>
    </row>
    <row r="68" spans="1:3" ht="15.75">
      <c r="A68" s="1789">
        <v>2259</v>
      </c>
      <c r="B68" s="1795" t="s">
        <v>426</v>
      </c>
      <c r="C68" s="1789">
        <v>2259</v>
      </c>
    </row>
    <row r="69" spans="1:3" ht="15.75">
      <c r="A69" s="1789">
        <v>2261</v>
      </c>
      <c r="B69" s="1793" t="s">
        <v>427</v>
      </c>
      <c r="C69" s="1789">
        <v>2261</v>
      </c>
    </row>
    <row r="70" spans="1:3" ht="15.75">
      <c r="A70" s="1789">
        <v>2268</v>
      </c>
      <c r="B70" s="1792" t="s">
        <v>428</v>
      </c>
      <c r="C70" s="1789">
        <v>2268</v>
      </c>
    </row>
    <row r="71" spans="1:3" ht="15.75">
      <c r="A71" s="1789">
        <v>2279</v>
      </c>
      <c r="B71" s="1793" t="s">
        <v>429</v>
      </c>
      <c r="C71" s="1789">
        <v>2279</v>
      </c>
    </row>
    <row r="72" spans="1:3" ht="15.75">
      <c r="A72" s="1789">
        <v>2281</v>
      </c>
      <c r="B72" s="1795" t="s">
        <v>430</v>
      </c>
      <c r="C72" s="1789">
        <v>2281</v>
      </c>
    </row>
    <row r="73" spans="1:3" ht="15.75">
      <c r="A73" s="1789">
        <v>2282</v>
      </c>
      <c r="B73" s="1795" t="s">
        <v>431</v>
      </c>
      <c r="C73" s="1789">
        <v>2282</v>
      </c>
    </row>
    <row r="74" spans="1:3" ht="15.75">
      <c r="A74" s="1789">
        <v>2283</v>
      </c>
      <c r="B74" s="1795" t="s">
        <v>432</v>
      </c>
      <c r="C74" s="1789">
        <v>2283</v>
      </c>
    </row>
    <row r="75" spans="1:3" ht="15.75">
      <c r="A75" s="1789">
        <v>2284</v>
      </c>
      <c r="B75" s="1795" t="s">
        <v>433</v>
      </c>
      <c r="C75" s="1789">
        <v>2284</v>
      </c>
    </row>
    <row r="76" spans="1:3" ht="15.75">
      <c r="A76" s="1789">
        <v>2285</v>
      </c>
      <c r="B76" s="1795" t="s">
        <v>434</v>
      </c>
      <c r="C76" s="1789">
        <v>2285</v>
      </c>
    </row>
    <row r="77" spans="1:3" ht="15.75">
      <c r="A77" s="1789">
        <v>2288</v>
      </c>
      <c r="B77" s="1795" t="s">
        <v>435</v>
      </c>
      <c r="C77" s="1789">
        <v>2288</v>
      </c>
    </row>
    <row r="78" spans="1:3" ht="15.75">
      <c r="A78" s="1789">
        <v>2289</v>
      </c>
      <c r="B78" s="1795" t="s">
        <v>436</v>
      </c>
      <c r="C78" s="1789">
        <v>2289</v>
      </c>
    </row>
    <row r="79" spans="1:3" ht="15.75">
      <c r="A79" s="1789">
        <v>3301</v>
      </c>
      <c r="B79" s="1792" t="s">
        <v>437</v>
      </c>
      <c r="C79" s="1789">
        <v>3301</v>
      </c>
    </row>
    <row r="80" spans="1:3" ht="15.75">
      <c r="A80" s="1789">
        <v>3311</v>
      </c>
      <c r="B80" s="1792" t="s">
        <v>2002</v>
      </c>
      <c r="C80" s="1789">
        <v>3311</v>
      </c>
    </row>
    <row r="81" spans="1:3" ht="15.75">
      <c r="A81" s="1789">
        <v>3312</v>
      </c>
      <c r="B81" s="1793" t="s">
        <v>2003</v>
      </c>
      <c r="C81" s="1789">
        <v>3312</v>
      </c>
    </row>
    <row r="82" spans="1:3" ht="15.75">
      <c r="A82" s="1789">
        <v>3318</v>
      </c>
      <c r="B82" s="1795" t="s">
        <v>438</v>
      </c>
      <c r="C82" s="1789">
        <v>3318</v>
      </c>
    </row>
    <row r="83" spans="1:3" ht="15.75">
      <c r="A83" s="1789">
        <v>3321</v>
      </c>
      <c r="B83" s="1792" t="s">
        <v>1994</v>
      </c>
      <c r="C83" s="1789">
        <v>3321</v>
      </c>
    </row>
    <row r="84" spans="1:3" ht="15.75">
      <c r="A84" s="1789">
        <v>3322</v>
      </c>
      <c r="B84" s="1793" t="s">
        <v>1995</v>
      </c>
      <c r="C84" s="1789">
        <v>3322</v>
      </c>
    </row>
    <row r="85" spans="1:3" ht="15.75">
      <c r="A85" s="1789">
        <v>3323</v>
      </c>
      <c r="B85" s="1795" t="s">
        <v>1993</v>
      </c>
      <c r="C85" s="1789">
        <v>3323</v>
      </c>
    </row>
    <row r="86" spans="1:3" ht="15.75">
      <c r="A86" s="1789">
        <v>3324</v>
      </c>
      <c r="B86" s="1795" t="s">
        <v>439</v>
      </c>
      <c r="C86" s="1789">
        <v>3324</v>
      </c>
    </row>
    <row r="87" spans="1:3" ht="15.75">
      <c r="A87" s="1789">
        <v>3325</v>
      </c>
      <c r="B87" s="1793" t="s">
        <v>1996</v>
      </c>
      <c r="C87" s="1789">
        <v>3325</v>
      </c>
    </row>
    <row r="88" spans="1:3" ht="15.75">
      <c r="A88" s="1789">
        <v>3326</v>
      </c>
      <c r="B88" s="1792" t="s">
        <v>1997</v>
      </c>
      <c r="C88" s="1789">
        <v>3326</v>
      </c>
    </row>
    <row r="89" spans="1:3" ht="15.75">
      <c r="A89" s="1789">
        <v>3327</v>
      </c>
      <c r="B89" s="1792" t="s">
        <v>1998</v>
      </c>
      <c r="C89" s="1789">
        <v>3327</v>
      </c>
    </row>
    <row r="90" spans="1:3" ht="15.75">
      <c r="A90" s="1789">
        <v>3332</v>
      </c>
      <c r="B90" s="1792" t="s">
        <v>440</v>
      </c>
      <c r="C90" s="1789">
        <v>3332</v>
      </c>
    </row>
    <row r="91" spans="1:3" ht="15.75">
      <c r="A91" s="1789">
        <v>3333</v>
      </c>
      <c r="B91" s="1793" t="s">
        <v>441</v>
      </c>
      <c r="C91" s="1789">
        <v>3333</v>
      </c>
    </row>
    <row r="92" spans="1:3" ht="15.75">
      <c r="A92" s="1789">
        <v>3334</v>
      </c>
      <c r="B92" s="1793" t="s">
        <v>518</v>
      </c>
      <c r="C92" s="1789">
        <v>3334</v>
      </c>
    </row>
    <row r="93" spans="1:3" ht="15.75">
      <c r="A93" s="1789">
        <v>3336</v>
      </c>
      <c r="B93" s="1793" t="s">
        <v>519</v>
      </c>
      <c r="C93" s="1789">
        <v>3336</v>
      </c>
    </row>
    <row r="94" spans="1:3" ht="15.75">
      <c r="A94" s="1789">
        <v>3337</v>
      </c>
      <c r="B94" s="1792" t="s">
        <v>1999</v>
      </c>
      <c r="C94" s="1789">
        <v>3337</v>
      </c>
    </row>
    <row r="95" spans="1:3" ht="15.75">
      <c r="A95" s="1789">
        <v>3338</v>
      </c>
      <c r="B95" s="1792" t="s">
        <v>2000</v>
      </c>
      <c r="C95" s="1789">
        <v>3338</v>
      </c>
    </row>
    <row r="96" spans="1:3" ht="15.75">
      <c r="A96" s="1789">
        <v>3341</v>
      </c>
      <c r="B96" s="1793" t="s">
        <v>520</v>
      </c>
      <c r="C96" s="1789">
        <v>3341</v>
      </c>
    </row>
    <row r="97" spans="1:3" ht="15.75">
      <c r="A97" s="1789">
        <v>3349</v>
      </c>
      <c r="B97" s="1793" t="s">
        <v>442</v>
      </c>
      <c r="C97" s="1789">
        <v>3349</v>
      </c>
    </row>
    <row r="98" spans="1:3" ht="15.75">
      <c r="A98" s="1789">
        <v>3359</v>
      </c>
      <c r="B98" s="1793" t="s">
        <v>443</v>
      </c>
      <c r="C98" s="1789">
        <v>3359</v>
      </c>
    </row>
    <row r="99" spans="1:3" ht="15.75">
      <c r="A99" s="1789">
        <v>3369</v>
      </c>
      <c r="B99" s="1793" t="s">
        <v>444</v>
      </c>
      <c r="C99" s="1789">
        <v>3369</v>
      </c>
    </row>
    <row r="100" spans="1:3" ht="15.75">
      <c r="A100" s="1789">
        <v>3388</v>
      </c>
      <c r="B100" s="1792" t="s">
        <v>0</v>
      </c>
      <c r="C100" s="1789">
        <v>3388</v>
      </c>
    </row>
    <row r="101" spans="1:3" ht="15.75">
      <c r="A101" s="1789">
        <v>3389</v>
      </c>
      <c r="B101" s="1793" t="s">
        <v>1</v>
      </c>
      <c r="C101" s="1789">
        <v>3389</v>
      </c>
    </row>
    <row r="102" spans="1:3" ht="15.75">
      <c r="A102" s="1789">
        <v>4401</v>
      </c>
      <c r="B102" s="1792" t="s">
        <v>2</v>
      </c>
      <c r="C102" s="1789">
        <v>4401</v>
      </c>
    </row>
    <row r="103" spans="1:3" ht="15.75">
      <c r="A103" s="1789">
        <v>4412</v>
      </c>
      <c r="B103" s="1795" t="s">
        <v>3</v>
      </c>
      <c r="C103" s="1789">
        <v>4412</v>
      </c>
    </row>
    <row r="104" spans="1:3" ht="15.75">
      <c r="A104" s="1789">
        <v>4415</v>
      </c>
      <c r="B104" s="1793" t="s">
        <v>4</v>
      </c>
      <c r="C104" s="1789">
        <v>4415</v>
      </c>
    </row>
    <row r="105" spans="1:3" ht="15.75">
      <c r="A105" s="1789">
        <v>4418</v>
      </c>
      <c r="B105" s="1793" t="s">
        <v>5</v>
      </c>
      <c r="C105" s="1789">
        <v>4418</v>
      </c>
    </row>
    <row r="106" spans="1:3" ht="15.75">
      <c r="A106" s="1789">
        <v>4429</v>
      </c>
      <c r="B106" s="1792" t="s">
        <v>6</v>
      </c>
      <c r="C106" s="1789">
        <v>4429</v>
      </c>
    </row>
    <row r="107" spans="1:3" ht="15.75">
      <c r="A107" s="1789">
        <v>4431</v>
      </c>
      <c r="B107" s="1793" t="s">
        <v>2004</v>
      </c>
      <c r="C107" s="1789">
        <v>4431</v>
      </c>
    </row>
    <row r="108" spans="1:3" ht="15.75">
      <c r="A108" s="1789">
        <v>4433</v>
      </c>
      <c r="B108" s="1793" t="s">
        <v>7</v>
      </c>
      <c r="C108" s="1789">
        <v>4433</v>
      </c>
    </row>
    <row r="109" spans="1:3" ht="15.75">
      <c r="A109" s="1789">
        <v>4436</v>
      </c>
      <c r="B109" s="1793" t="s">
        <v>8</v>
      </c>
      <c r="C109" s="1789">
        <v>4436</v>
      </c>
    </row>
    <row r="110" spans="1:3" ht="15.75">
      <c r="A110" s="1789">
        <v>4437</v>
      </c>
      <c r="B110" s="1794" t="s">
        <v>9</v>
      </c>
      <c r="C110" s="1789">
        <v>4437</v>
      </c>
    </row>
    <row r="111" spans="1:3" ht="15.75">
      <c r="A111" s="1789">
        <v>4448</v>
      </c>
      <c r="B111" s="1794" t="s">
        <v>2032</v>
      </c>
      <c r="C111" s="1789">
        <v>4448</v>
      </c>
    </row>
    <row r="112" spans="1:3" ht="15.75">
      <c r="A112" s="1789">
        <v>4450</v>
      </c>
      <c r="B112" s="1793" t="s">
        <v>10</v>
      </c>
      <c r="C112" s="1789">
        <v>4450</v>
      </c>
    </row>
    <row r="113" spans="1:3" ht="15.75">
      <c r="A113" s="1789">
        <v>4451</v>
      </c>
      <c r="B113" s="1798" t="s">
        <v>11</v>
      </c>
      <c r="C113" s="1789">
        <v>4451</v>
      </c>
    </row>
    <row r="114" spans="1:3" ht="15.75">
      <c r="A114" s="1789">
        <v>4452</v>
      </c>
      <c r="B114" s="1798" t="s">
        <v>12</v>
      </c>
      <c r="C114" s="1789">
        <v>4452</v>
      </c>
    </row>
    <row r="115" spans="1:3" ht="15.75">
      <c r="A115" s="1789">
        <v>4453</v>
      </c>
      <c r="B115" s="1798" t="s">
        <v>13</v>
      </c>
      <c r="C115" s="1789">
        <v>4453</v>
      </c>
    </row>
    <row r="116" spans="1:3" ht="15.75">
      <c r="A116" s="1789">
        <v>4454</v>
      </c>
      <c r="B116" s="1799" t="s">
        <v>14</v>
      </c>
      <c r="C116" s="1789">
        <v>4454</v>
      </c>
    </row>
    <row r="117" spans="1:3" ht="15.75">
      <c r="A117" s="1789">
        <v>4455</v>
      </c>
      <c r="B117" s="1799" t="s">
        <v>2005</v>
      </c>
      <c r="C117" s="1789">
        <v>4455</v>
      </c>
    </row>
    <row r="118" spans="1:3" ht="15.75">
      <c r="A118" s="1789">
        <v>4456</v>
      </c>
      <c r="B118" s="1798" t="s">
        <v>15</v>
      </c>
      <c r="C118" s="1789">
        <v>4456</v>
      </c>
    </row>
    <row r="119" spans="1:3" ht="15.75">
      <c r="A119" s="1789">
        <v>4457</v>
      </c>
      <c r="B119" s="1800" t="s">
        <v>2006</v>
      </c>
      <c r="C119" s="1789">
        <v>4457</v>
      </c>
    </row>
    <row r="120" spans="1:3" ht="15.75">
      <c r="A120" s="1789">
        <v>4458</v>
      </c>
      <c r="B120" s="1800" t="s">
        <v>2035</v>
      </c>
      <c r="C120" s="1789">
        <v>4458</v>
      </c>
    </row>
    <row r="121" spans="1:3" ht="15.75">
      <c r="A121" s="1789">
        <v>4459</v>
      </c>
      <c r="B121" s="1800" t="s">
        <v>1652</v>
      </c>
      <c r="C121" s="1789">
        <v>4459</v>
      </c>
    </row>
    <row r="122" spans="1:3" ht="15.75">
      <c r="A122" s="1789">
        <v>4465</v>
      </c>
      <c r="B122" s="1790" t="s">
        <v>16</v>
      </c>
      <c r="C122" s="1789">
        <v>4465</v>
      </c>
    </row>
    <row r="123" spans="1:3" ht="15.75">
      <c r="A123" s="1789">
        <v>4467</v>
      </c>
      <c r="B123" s="1791" t="s">
        <v>17</v>
      </c>
      <c r="C123" s="1789">
        <v>4467</v>
      </c>
    </row>
    <row r="124" spans="1:3" ht="15.75">
      <c r="A124" s="1789">
        <v>4468</v>
      </c>
      <c r="B124" s="1792" t="s">
        <v>18</v>
      </c>
      <c r="C124" s="1789">
        <v>4468</v>
      </c>
    </row>
    <row r="125" spans="1:3" ht="15.75">
      <c r="A125" s="1789">
        <v>4469</v>
      </c>
      <c r="B125" s="1793" t="s">
        <v>19</v>
      </c>
      <c r="C125" s="1789">
        <v>4469</v>
      </c>
    </row>
    <row r="126" spans="1:3" ht="15.75">
      <c r="A126" s="1789">
        <v>5501</v>
      </c>
      <c r="B126" s="1792" t="s">
        <v>20</v>
      </c>
      <c r="C126" s="1789">
        <v>5501</v>
      </c>
    </row>
    <row r="127" spans="1:3" ht="15.75">
      <c r="A127" s="1789">
        <v>5511</v>
      </c>
      <c r="B127" s="1797" t="s">
        <v>21</v>
      </c>
      <c r="C127" s="1789">
        <v>5511</v>
      </c>
    </row>
    <row r="128" spans="1:3" ht="15.75">
      <c r="A128" s="1789">
        <v>5512</v>
      </c>
      <c r="B128" s="1792" t="s">
        <v>22</v>
      </c>
      <c r="C128" s="1789">
        <v>5512</v>
      </c>
    </row>
    <row r="129" spans="1:3" ht="15.75">
      <c r="A129" s="1789">
        <v>5513</v>
      </c>
      <c r="B129" s="1800" t="s">
        <v>2036</v>
      </c>
      <c r="C129" s="1789">
        <v>5513</v>
      </c>
    </row>
    <row r="130" spans="1:3" ht="15.75">
      <c r="A130" s="1789">
        <v>5514</v>
      </c>
      <c r="B130" s="1800" t="s">
        <v>543</v>
      </c>
      <c r="C130" s="1789">
        <v>5514</v>
      </c>
    </row>
    <row r="131" spans="1:3" ht="15.75">
      <c r="A131" s="1789">
        <v>5515</v>
      </c>
      <c r="B131" s="1800" t="s">
        <v>544</v>
      </c>
      <c r="C131" s="1789">
        <v>5515</v>
      </c>
    </row>
    <row r="132" spans="1:3" ht="15.75">
      <c r="A132" s="1789">
        <v>5516</v>
      </c>
      <c r="B132" s="1800" t="s">
        <v>2037</v>
      </c>
      <c r="C132" s="1789">
        <v>5516</v>
      </c>
    </row>
    <row r="133" spans="1:3" ht="15.75">
      <c r="A133" s="1789">
        <v>5517</v>
      </c>
      <c r="B133" s="1800" t="s">
        <v>545</v>
      </c>
      <c r="C133" s="1789">
        <v>5517</v>
      </c>
    </row>
    <row r="134" spans="1:3" ht="15.75">
      <c r="A134" s="1789">
        <v>5518</v>
      </c>
      <c r="B134" s="1792" t="s">
        <v>546</v>
      </c>
      <c r="C134" s="1789">
        <v>5518</v>
      </c>
    </row>
    <row r="135" spans="1:3" ht="15.75">
      <c r="A135" s="1789">
        <v>5519</v>
      </c>
      <c r="B135" s="1792" t="s">
        <v>547</v>
      </c>
      <c r="C135" s="1789">
        <v>5519</v>
      </c>
    </row>
    <row r="136" spans="1:3" ht="15.75">
      <c r="A136" s="1789">
        <v>5521</v>
      </c>
      <c r="B136" s="1792" t="s">
        <v>548</v>
      </c>
      <c r="C136" s="1789">
        <v>5521</v>
      </c>
    </row>
    <row r="137" spans="1:3" ht="15.75">
      <c r="A137" s="1789">
        <v>5522</v>
      </c>
      <c r="B137" s="1801" t="s">
        <v>549</v>
      </c>
      <c r="C137" s="1789">
        <v>5522</v>
      </c>
    </row>
    <row r="138" spans="1:3" ht="15.75">
      <c r="A138" s="1789">
        <v>5524</v>
      </c>
      <c r="B138" s="1790" t="s">
        <v>550</v>
      </c>
      <c r="C138" s="1789">
        <v>5524</v>
      </c>
    </row>
    <row r="139" spans="1:3" ht="15.75">
      <c r="A139" s="1789">
        <v>5525</v>
      </c>
      <c r="B139" s="1797" t="s">
        <v>551</v>
      </c>
      <c r="C139" s="1789">
        <v>5525</v>
      </c>
    </row>
    <row r="140" spans="1:3" ht="15.75">
      <c r="A140" s="1789">
        <v>5526</v>
      </c>
      <c r="B140" s="1794" t="s">
        <v>552</v>
      </c>
      <c r="C140" s="1789">
        <v>5526</v>
      </c>
    </row>
    <row r="141" spans="1:3" ht="15.75">
      <c r="A141" s="1789">
        <v>5527</v>
      </c>
      <c r="B141" s="1794" t="s">
        <v>553</v>
      </c>
      <c r="C141" s="1789">
        <v>5527</v>
      </c>
    </row>
    <row r="142" spans="1:3" ht="15.75">
      <c r="A142" s="1789">
        <v>5528</v>
      </c>
      <c r="B142" s="1794" t="s">
        <v>554</v>
      </c>
      <c r="C142" s="1789">
        <v>5528</v>
      </c>
    </row>
    <row r="143" spans="1:3" ht="15.75">
      <c r="A143" s="1789">
        <v>5529</v>
      </c>
      <c r="B143" s="1794" t="s">
        <v>555</v>
      </c>
      <c r="C143" s="1789">
        <v>5529</v>
      </c>
    </row>
    <row r="144" spans="1:3" ht="15.75">
      <c r="A144" s="1789">
        <v>5530</v>
      </c>
      <c r="B144" s="1794" t="s">
        <v>556</v>
      </c>
      <c r="C144" s="1789">
        <v>5530</v>
      </c>
    </row>
    <row r="145" spans="1:3" ht="15.75">
      <c r="A145" s="1789">
        <v>5531</v>
      </c>
      <c r="B145" s="1797" t="s">
        <v>557</v>
      </c>
      <c r="C145" s="1789">
        <v>5531</v>
      </c>
    </row>
    <row r="146" spans="1:3" ht="15.75">
      <c r="A146" s="1789">
        <v>5532</v>
      </c>
      <c r="B146" s="1801" t="s">
        <v>558</v>
      </c>
      <c r="C146" s="1789">
        <v>5532</v>
      </c>
    </row>
    <row r="147" spans="1:3" ht="15.75">
      <c r="A147" s="1789">
        <v>5533</v>
      </c>
      <c r="B147" s="1801" t="s">
        <v>559</v>
      </c>
      <c r="C147" s="1789">
        <v>5533</v>
      </c>
    </row>
    <row r="148" spans="1:3" ht="15.75">
      <c r="A148" s="1802">
        <v>5534</v>
      </c>
      <c r="B148" s="1801" t="s">
        <v>560</v>
      </c>
      <c r="C148" s="1802">
        <v>5534</v>
      </c>
    </row>
    <row r="149" spans="1:3" ht="15.75">
      <c r="A149" s="1802">
        <v>5535</v>
      </c>
      <c r="B149" s="1801" t="s">
        <v>561</v>
      </c>
      <c r="C149" s="1802">
        <v>5535</v>
      </c>
    </row>
    <row r="150" spans="1:3" ht="15.75">
      <c r="A150" s="1789">
        <v>5538</v>
      </c>
      <c r="B150" s="1797" t="s">
        <v>562</v>
      </c>
      <c r="C150" s="1789">
        <v>5538</v>
      </c>
    </row>
    <row r="151" spans="1:3" ht="15.75">
      <c r="A151" s="1789">
        <v>5540</v>
      </c>
      <c r="B151" s="1801" t="s">
        <v>563</v>
      </c>
      <c r="C151" s="1789">
        <v>5540</v>
      </c>
    </row>
    <row r="152" spans="1:3" ht="15.75">
      <c r="A152" s="1789">
        <v>5541</v>
      </c>
      <c r="B152" s="1801" t="s">
        <v>2085</v>
      </c>
      <c r="C152" s="1789">
        <v>5541</v>
      </c>
    </row>
    <row r="153" spans="1:3" ht="15.75">
      <c r="A153" s="1789">
        <v>5545</v>
      </c>
      <c r="B153" s="1801" t="s">
        <v>2086</v>
      </c>
      <c r="C153" s="1789">
        <v>5545</v>
      </c>
    </row>
    <row r="154" spans="1:3" ht="15.75">
      <c r="A154" s="1789">
        <v>5546</v>
      </c>
      <c r="B154" s="1801" t="s">
        <v>564</v>
      </c>
      <c r="C154" s="1789">
        <v>5546</v>
      </c>
    </row>
    <row r="155" spans="1:3" ht="15.75">
      <c r="A155" s="1789">
        <v>5547</v>
      </c>
      <c r="B155" s="1801" t="s">
        <v>565</v>
      </c>
      <c r="C155" s="1789">
        <v>5547</v>
      </c>
    </row>
    <row r="156" spans="1:3" ht="15.75">
      <c r="A156" s="1789">
        <v>5548</v>
      </c>
      <c r="B156" s="1801" t="s">
        <v>566</v>
      </c>
      <c r="C156" s="1789">
        <v>5548</v>
      </c>
    </row>
    <row r="157" spans="1:3" ht="15.75">
      <c r="A157" s="1789">
        <v>5550</v>
      </c>
      <c r="B157" s="1801" t="s">
        <v>567</v>
      </c>
      <c r="C157" s="1789">
        <v>5550</v>
      </c>
    </row>
    <row r="158" spans="1:3" ht="15.75">
      <c r="A158" s="1789">
        <v>5551</v>
      </c>
      <c r="B158" s="1801" t="s">
        <v>568</v>
      </c>
      <c r="C158" s="1789">
        <v>5551</v>
      </c>
    </row>
    <row r="159" spans="1:3" ht="15.75">
      <c r="A159" s="1789">
        <v>5553</v>
      </c>
      <c r="B159" s="1801" t="s">
        <v>569</v>
      </c>
      <c r="C159" s="1789">
        <v>5553</v>
      </c>
    </row>
    <row r="160" spans="1:3" ht="15.75">
      <c r="A160" s="1789">
        <v>5554</v>
      </c>
      <c r="B160" s="1797" t="s">
        <v>570</v>
      </c>
      <c r="C160" s="1789">
        <v>5554</v>
      </c>
    </row>
    <row r="161" spans="1:3" ht="15.75">
      <c r="A161" s="1789">
        <v>5556</v>
      </c>
      <c r="B161" s="1793" t="s">
        <v>571</v>
      </c>
      <c r="C161" s="1789">
        <v>5556</v>
      </c>
    </row>
    <row r="162" spans="1:3" ht="15.75">
      <c r="A162" s="1789">
        <v>5561</v>
      </c>
      <c r="B162" s="1803" t="s">
        <v>2087</v>
      </c>
      <c r="C162" s="1789">
        <v>5561</v>
      </c>
    </row>
    <row r="163" spans="1:3" ht="15.75">
      <c r="A163" s="1789">
        <v>5562</v>
      </c>
      <c r="B163" s="1803" t="s">
        <v>2045</v>
      </c>
      <c r="C163" s="1789">
        <v>5562</v>
      </c>
    </row>
    <row r="164" spans="1:3" ht="15.75">
      <c r="A164" s="1789">
        <v>5588</v>
      </c>
      <c r="B164" s="1792" t="s">
        <v>572</v>
      </c>
      <c r="C164" s="1789">
        <v>5588</v>
      </c>
    </row>
    <row r="165" spans="1:3" ht="15.75">
      <c r="A165" s="1789">
        <v>5589</v>
      </c>
      <c r="B165" s="1792" t="s">
        <v>573</v>
      </c>
      <c r="C165" s="1789">
        <v>5589</v>
      </c>
    </row>
    <row r="166" spans="1:3" ht="15.75">
      <c r="A166" s="1789">
        <v>6601</v>
      </c>
      <c r="B166" s="1792" t="s">
        <v>574</v>
      </c>
      <c r="C166" s="1789">
        <v>6601</v>
      </c>
    </row>
    <row r="167" spans="1:3" ht="15.75">
      <c r="A167" s="1789">
        <v>6602</v>
      </c>
      <c r="B167" s="1793" t="s">
        <v>575</v>
      </c>
      <c r="C167" s="1789">
        <v>6602</v>
      </c>
    </row>
    <row r="168" spans="1:3" ht="15.75">
      <c r="A168" s="1789">
        <v>6603</v>
      </c>
      <c r="B168" s="1793" t="s">
        <v>576</v>
      </c>
      <c r="C168" s="1789">
        <v>6603</v>
      </c>
    </row>
    <row r="169" spans="1:3" ht="15.75">
      <c r="A169" s="1789">
        <v>6604</v>
      </c>
      <c r="B169" s="1793" t="s">
        <v>577</v>
      </c>
      <c r="C169" s="1789">
        <v>6604</v>
      </c>
    </row>
    <row r="170" spans="1:3" ht="15.75">
      <c r="A170" s="1789">
        <v>6605</v>
      </c>
      <c r="B170" s="1793" t="s">
        <v>2048</v>
      </c>
      <c r="C170" s="1789">
        <v>6605</v>
      </c>
    </row>
    <row r="171" spans="1:3" ht="15.75">
      <c r="A171" s="1802">
        <v>6606</v>
      </c>
      <c r="B171" s="1795" t="s">
        <v>578</v>
      </c>
      <c r="C171" s="1802">
        <v>6606</v>
      </c>
    </row>
    <row r="172" spans="1:3" ht="15.75">
      <c r="A172" s="1789">
        <v>6618</v>
      </c>
      <c r="B172" s="1792" t="s">
        <v>579</v>
      </c>
      <c r="C172" s="1789">
        <v>6618</v>
      </c>
    </row>
    <row r="173" spans="1:3" ht="15.75">
      <c r="A173" s="1789">
        <v>6619</v>
      </c>
      <c r="B173" s="1793" t="s">
        <v>580</v>
      </c>
      <c r="C173" s="1789">
        <v>6619</v>
      </c>
    </row>
    <row r="174" spans="1:3" ht="15.75">
      <c r="A174" s="1789">
        <v>6621</v>
      </c>
      <c r="B174" s="1792" t="s">
        <v>581</v>
      </c>
      <c r="C174" s="1789">
        <v>6621</v>
      </c>
    </row>
    <row r="175" spans="1:3" ht="15.75">
      <c r="A175" s="1789">
        <v>6622</v>
      </c>
      <c r="B175" s="1793" t="s">
        <v>582</v>
      </c>
      <c r="C175" s="1789">
        <v>6622</v>
      </c>
    </row>
    <row r="176" spans="1:3" ht="15.75">
      <c r="A176" s="1789">
        <v>6623</v>
      </c>
      <c r="B176" s="1793" t="s">
        <v>583</v>
      </c>
      <c r="C176" s="1789">
        <v>6623</v>
      </c>
    </row>
    <row r="177" spans="1:3" ht="15.75">
      <c r="A177" s="1789">
        <v>6624</v>
      </c>
      <c r="B177" s="1793" t="s">
        <v>584</v>
      </c>
      <c r="C177" s="1789">
        <v>6624</v>
      </c>
    </row>
    <row r="178" spans="1:3" ht="15.75">
      <c r="A178" s="1789">
        <v>6625</v>
      </c>
      <c r="B178" s="1794" t="s">
        <v>585</v>
      </c>
      <c r="C178" s="1789">
        <v>6625</v>
      </c>
    </row>
    <row r="179" spans="1:3" ht="15.75">
      <c r="A179" s="1789">
        <v>6626</v>
      </c>
      <c r="B179" s="1794" t="s">
        <v>477</v>
      </c>
      <c r="C179" s="1789">
        <v>6626</v>
      </c>
    </row>
    <row r="180" spans="1:3" ht="15.75">
      <c r="A180" s="1789">
        <v>6627</v>
      </c>
      <c r="B180" s="1794" t="s">
        <v>478</v>
      </c>
      <c r="C180" s="1789">
        <v>6627</v>
      </c>
    </row>
    <row r="181" spans="1:3" ht="15.75">
      <c r="A181" s="1789">
        <v>6628</v>
      </c>
      <c r="B181" s="1800" t="s">
        <v>479</v>
      </c>
      <c r="C181" s="1789">
        <v>6628</v>
      </c>
    </row>
    <row r="182" spans="1:3" ht="15.75">
      <c r="A182" s="1789">
        <v>6629</v>
      </c>
      <c r="B182" s="1803" t="s">
        <v>480</v>
      </c>
      <c r="C182" s="1789">
        <v>6629</v>
      </c>
    </row>
    <row r="183" spans="1:3" ht="15.75">
      <c r="A183" s="1804">
        <v>7701</v>
      </c>
      <c r="B183" s="1792" t="s">
        <v>481</v>
      </c>
      <c r="C183" s="1804">
        <v>7701</v>
      </c>
    </row>
    <row r="184" spans="1:3" ht="15.75">
      <c r="A184" s="1789">
        <v>7708</v>
      </c>
      <c r="B184" s="1792" t="s">
        <v>482</v>
      </c>
      <c r="C184" s="1789">
        <v>7708</v>
      </c>
    </row>
    <row r="185" spans="1:3" ht="15.75">
      <c r="A185" s="1789">
        <v>7711</v>
      </c>
      <c r="B185" s="1795" t="s">
        <v>483</v>
      </c>
      <c r="C185" s="1789">
        <v>7711</v>
      </c>
    </row>
    <row r="186" spans="1:3" ht="15.75">
      <c r="A186" s="1789">
        <v>7712</v>
      </c>
      <c r="B186" s="1792" t="s">
        <v>484</v>
      </c>
      <c r="C186" s="1789">
        <v>7712</v>
      </c>
    </row>
    <row r="187" spans="1:3" ht="15.75">
      <c r="A187" s="1789">
        <v>7713</v>
      </c>
      <c r="B187" s="1805" t="s">
        <v>485</v>
      </c>
      <c r="C187" s="1789">
        <v>7713</v>
      </c>
    </row>
    <row r="188" spans="1:3" ht="15.75">
      <c r="A188" s="1789">
        <v>7714</v>
      </c>
      <c r="B188" s="1791" t="s">
        <v>486</v>
      </c>
      <c r="C188" s="1789">
        <v>7714</v>
      </c>
    </row>
    <row r="189" spans="1:3" ht="15.75">
      <c r="A189" s="1789">
        <v>7718</v>
      </c>
      <c r="B189" s="1792" t="s">
        <v>487</v>
      </c>
      <c r="C189" s="1789">
        <v>7718</v>
      </c>
    </row>
    <row r="190" spans="1:3" ht="15.75">
      <c r="A190" s="1789">
        <v>7719</v>
      </c>
      <c r="B190" s="1793" t="s">
        <v>488</v>
      </c>
      <c r="C190" s="1789">
        <v>7719</v>
      </c>
    </row>
    <row r="191" spans="1:3" ht="15.75">
      <c r="A191" s="1789">
        <v>7731</v>
      </c>
      <c r="B191" s="1792" t="s">
        <v>489</v>
      </c>
      <c r="C191" s="1789">
        <v>7731</v>
      </c>
    </row>
    <row r="192" spans="1:3" ht="15.75">
      <c r="A192" s="1789">
        <v>7732</v>
      </c>
      <c r="B192" s="1793" t="s">
        <v>490</v>
      </c>
      <c r="C192" s="1789">
        <v>7732</v>
      </c>
    </row>
    <row r="193" spans="1:3" ht="15.75">
      <c r="A193" s="1789">
        <v>7733</v>
      </c>
      <c r="B193" s="1793" t="s">
        <v>491</v>
      </c>
      <c r="C193" s="1789">
        <v>7733</v>
      </c>
    </row>
    <row r="194" spans="1:3" ht="15.75">
      <c r="A194" s="1789">
        <v>7735</v>
      </c>
      <c r="B194" s="1793" t="s">
        <v>492</v>
      </c>
      <c r="C194" s="1789">
        <v>7735</v>
      </c>
    </row>
    <row r="195" spans="1:3" ht="15.75">
      <c r="A195" s="1789">
        <v>7736</v>
      </c>
      <c r="B195" s="1792" t="s">
        <v>493</v>
      </c>
      <c r="C195" s="1789">
        <v>7736</v>
      </c>
    </row>
    <row r="196" spans="1:3" ht="15.75">
      <c r="A196" s="1789">
        <v>7737</v>
      </c>
      <c r="B196" s="1793" t="s">
        <v>494</v>
      </c>
      <c r="C196" s="1789">
        <v>7737</v>
      </c>
    </row>
    <row r="197" spans="1:3" ht="15.75">
      <c r="A197" s="1789">
        <v>7738</v>
      </c>
      <c r="B197" s="1793" t="s">
        <v>495</v>
      </c>
      <c r="C197" s="1789">
        <v>7738</v>
      </c>
    </row>
    <row r="198" spans="1:3" ht="15.75">
      <c r="A198" s="1789">
        <v>7739</v>
      </c>
      <c r="B198" s="1797" t="s">
        <v>496</v>
      </c>
      <c r="C198" s="1789">
        <v>7739</v>
      </c>
    </row>
    <row r="199" spans="1:3" ht="15.75">
      <c r="A199" s="1789">
        <v>7740</v>
      </c>
      <c r="B199" s="1797" t="s">
        <v>497</v>
      </c>
      <c r="C199" s="1789">
        <v>7740</v>
      </c>
    </row>
    <row r="200" spans="1:3" ht="15.75">
      <c r="A200" s="1789">
        <v>7741</v>
      </c>
      <c r="B200" s="1793" t="s">
        <v>498</v>
      </c>
      <c r="C200" s="1789">
        <v>7741</v>
      </c>
    </row>
    <row r="201" spans="1:3" ht="15.75">
      <c r="A201" s="1789">
        <v>7742</v>
      </c>
      <c r="B201" s="1793" t="s">
        <v>499</v>
      </c>
      <c r="C201" s="1789">
        <v>7742</v>
      </c>
    </row>
    <row r="202" spans="1:3" ht="15.75">
      <c r="A202" s="1789">
        <v>7743</v>
      </c>
      <c r="B202" s="1793" t="s">
        <v>500</v>
      </c>
      <c r="C202" s="1789">
        <v>7743</v>
      </c>
    </row>
    <row r="203" spans="1:3" ht="15.75">
      <c r="A203" s="1789">
        <v>7744</v>
      </c>
      <c r="B203" s="1803" t="s">
        <v>501</v>
      </c>
      <c r="C203" s="1789">
        <v>7744</v>
      </c>
    </row>
    <row r="204" spans="1:3" ht="15.75">
      <c r="A204" s="1789">
        <v>7745</v>
      </c>
      <c r="B204" s="1793" t="s">
        <v>502</v>
      </c>
      <c r="C204" s="1789">
        <v>7745</v>
      </c>
    </row>
    <row r="205" spans="1:3" ht="15.75">
      <c r="A205" s="1789">
        <v>7746</v>
      </c>
      <c r="B205" s="1793" t="s">
        <v>503</v>
      </c>
      <c r="C205" s="1789">
        <v>7746</v>
      </c>
    </row>
    <row r="206" spans="1:3" ht="15.75">
      <c r="A206" s="1789">
        <v>7747</v>
      </c>
      <c r="B206" s="1792" t="s">
        <v>504</v>
      </c>
      <c r="C206" s="1789">
        <v>7747</v>
      </c>
    </row>
    <row r="207" spans="1:3" ht="15.75">
      <c r="A207" s="1789">
        <v>7748</v>
      </c>
      <c r="B207" s="1795" t="s">
        <v>505</v>
      </c>
      <c r="C207" s="1789">
        <v>7748</v>
      </c>
    </row>
    <row r="208" spans="1:3" ht="15.75">
      <c r="A208" s="1789">
        <v>7751</v>
      </c>
      <c r="B208" s="1793" t="s">
        <v>506</v>
      </c>
      <c r="C208" s="1789">
        <v>7751</v>
      </c>
    </row>
    <row r="209" spans="1:3" ht="15.75">
      <c r="A209" s="1789">
        <v>7752</v>
      </c>
      <c r="B209" s="1793" t="s">
        <v>507</v>
      </c>
      <c r="C209" s="1789">
        <v>7752</v>
      </c>
    </row>
    <row r="210" spans="1:3" ht="15.75">
      <c r="A210" s="1789">
        <v>7755</v>
      </c>
      <c r="B210" s="1794" t="s">
        <v>89</v>
      </c>
      <c r="C210" s="1789">
        <v>7755</v>
      </c>
    </row>
    <row r="211" spans="1:3" ht="15.75">
      <c r="A211" s="1789">
        <v>7758</v>
      </c>
      <c r="B211" s="1792" t="s">
        <v>90</v>
      </c>
      <c r="C211" s="1789">
        <v>7758</v>
      </c>
    </row>
    <row r="212" spans="1:3" ht="15.75">
      <c r="A212" s="1789">
        <v>7759</v>
      </c>
      <c r="B212" s="1793" t="s">
        <v>91</v>
      </c>
      <c r="C212" s="1789">
        <v>7759</v>
      </c>
    </row>
    <row r="213" spans="1:3" ht="15.75">
      <c r="A213" s="1789">
        <v>7761</v>
      </c>
      <c r="B213" s="1792" t="s">
        <v>92</v>
      </c>
      <c r="C213" s="1789">
        <v>7761</v>
      </c>
    </row>
    <row r="214" spans="1:3" ht="15.75">
      <c r="A214" s="1789">
        <v>7762</v>
      </c>
      <c r="B214" s="1792" t="s">
        <v>93</v>
      </c>
      <c r="C214" s="1789">
        <v>7762</v>
      </c>
    </row>
    <row r="215" spans="1:3" ht="15.75">
      <c r="A215" s="1789">
        <v>7768</v>
      </c>
      <c r="B215" s="1792" t="s">
        <v>94</v>
      </c>
      <c r="C215" s="1789">
        <v>7768</v>
      </c>
    </row>
    <row r="216" spans="1:3" ht="15.75">
      <c r="A216" s="1789">
        <v>8801</v>
      </c>
      <c r="B216" s="1795" t="s">
        <v>95</v>
      </c>
      <c r="C216" s="1789">
        <v>8801</v>
      </c>
    </row>
    <row r="217" spans="1:3" ht="15.75">
      <c r="A217" s="1789">
        <v>8802</v>
      </c>
      <c r="B217" s="1792" t="s">
        <v>96</v>
      </c>
      <c r="C217" s="1789">
        <v>8802</v>
      </c>
    </row>
    <row r="218" spans="1:3" ht="15.75">
      <c r="A218" s="1789">
        <v>8803</v>
      </c>
      <c r="B218" s="1792" t="s">
        <v>97</v>
      </c>
      <c r="C218" s="1789">
        <v>8803</v>
      </c>
    </row>
    <row r="219" spans="1:3" ht="15.75">
      <c r="A219" s="1789">
        <v>8804</v>
      </c>
      <c r="B219" s="1792" t="s">
        <v>98</v>
      </c>
      <c r="C219" s="1789">
        <v>8804</v>
      </c>
    </row>
    <row r="220" spans="1:3" ht="15.75">
      <c r="A220" s="1789">
        <v>8805</v>
      </c>
      <c r="B220" s="1794" t="s">
        <v>99</v>
      </c>
      <c r="C220" s="1789">
        <v>8805</v>
      </c>
    </row>
    <row r="221" spans="1:3" ht="15.75">
      <c r="A221" s="1789">
        <v>8807</v>
      </c>
      <c r="B221" s="1800" t="s">
        <v>100</v>
      </c>
      <c r="C221" s="1789">
        <v>8807</v>
      </c>
    </row>
    <row r="222" spans="1:3" ht="15.75">
      <c r="A222" s="1789">
        <v>8808</v>
      </c>
      <c r="B222" s="1793" t="s">
        <v>101</v>
      </c>
      <c r="C222" s="1789">
        <v>8808</v>
      </c>
    </row>
    <row r="223" spans="1:3" ht="15.75">
      <c r="A223" s="1789">
        <v>8809</v>
      </c>
      <c r="B223" s="1793" t="s">
        <v>102</v>
      </c>
      <c r="C223" s="1789">
        <v>8809</v>
      </c>
    </row>
    <row r="224" spans="1:3" ht="15.75">
      <c r="A224" s="1789">
        <v>8811</v>
      </c>
      <c r="B224" s="1792" t="s">
        <v>103</v>
      </c>
      <c r="C224" s="1789">
        <v>8811</v>
      </c>
    </row>
    <row r="225" spans="1:3" ht="15.75">
      <c r="A225" s="1789">
        <v>8813</v>
      </c>
      <c r="B225" s="1793" t="s">
        <v>104</v>
      </c>
      <c r="C225" s="1789">
        <v>8813</v>
      </c>
    </row>
    <row r="226" spans="1:3" ht="15.75">
      <c r="A226" s="1789">
        <v>8814</v>
      </c>
      <c r="B226" s="1792" t="s">
        <v>105</v>
      </c>
      <c r="C226" s="1789">
        <v>8814</v>
      </c>
    </row>
    <row r="227" spans="1:3" ht="15.75">
      <c r="A227" s="1789">
        <v>8815</v>
      </c>
      <c r="B227" s="1792" t="s">
        <v>106</v>
      </c>
      <c r="C227" s="1789">
        <v>8815</v>
      </c>
    </row>
    <row r="228" spans="1:3" ht="15.75">
      <c r="A228" s="1789">
        <v>8816</v>
      </c>
      <c r="B228" s="1793" t="s">
        <v>107</v>
      </c>
      <c r="C228" s="1789">
        <v>8816</v>
      </c>
    </row>
    <row r="229" spans="1:3" ht="15.75">
      <c r="A229" s="1789">
        <v>8817</v>
      </c>
      <c r="B229" s="1793" t="s">
        <v>108</v>
      </c>
      <c r="C229" s="1789">
        <v>8817</v>
      </c>
    </row>
    <row r="230" spans="1:3" ht="15.75">
      <c r="A230" s="1789">
        <v>8821</v>
      </c>
      <c r="B230" s="1793" t="s">
        <v>109</v>
      </c>
      <c r="C230" s="1789">
        <v>8821</v>
      </c>
    </row>
    <row r="231" spans="1:3" ht="15.75">
      <c r="A231" s="1789">
        <v>8824</v>
      </c>
      <c r="B231" s="1795" t="s">
        <v>110</v>
      </c>
      <c r="C231" s="1789">
        <v>8824</v>
      </c>
    </row>
    <row r="232" spans="1:3" ht="15.75">
      <c r="A232" s="1789">
        <v>8825</v>
      </c>
      <c r="B232" s="1795" t="s">
        <v>111</v>
      </c>
      <c r="C232" s="1789">
        <v>8825</v>
      </c>
    </row>
    <row r="233" spans="1:3" ht="15.75">
      <c r="A233" s="1789">
        <v>8826</v>
      </c>
      <c r="B233" s="1795" t="s">
        <v>112</v>
      </c>
      <c r="C233" s="1789">
        <v>8826</v>
      </c>
    </row>
    <row r="234" spans="1:3" ht="15.75">
      <c r="A234" s="1789">
        <v>8827</v>
      </c>
      <c r="B234" s="1795" t="s">
        <v>113</v>
      </c>
      <c r="C234" s="1789">
        <v>8827</v>
      </c>
    </row>
    <row r="235" spans="1:3" ht="15.75">
      <c r="A235" s="1789">
        <v>8828</v>
      </c>
      <c r="B235" s="1792" t="s">
        <v>114</v>
      </c>
      <c r="C235" s="1789">
        <v>8828</v>
      </c>
    </row>
    <row r="236" spans="1:3" ht="15.75">
      <c r="A236" s="1789">
        <v>8829</v>
      </c>
      <c r="B236" s="1792" t="s">
        <v>115</v>
      </c>
      <c r="C236" s="1789">
        <v>8829</v>
      </c>
    </row>
    <row r="237" spans="1:3" ht="15.75">
      <c r="A237" s="1789">
        <v>8831</v>
      </c>
      <c r="B237" s="1792" t="s">
        <v>116</v>
      </c>
      <c r="C237" s="1789">
        <v>8831</v>
      </c>
    </row>
    <row r="238" spans="1:3" ht="15.75">
      <c r="A238" s="1789">
        <v>8832</v>
      </c>
      <c r="B238" s="1793" t="s">
        <v>117</v>
      </c>
      <c r="C238" s="1789">
        <v>8832</v>
      </c>
    </row>
    <row r="239" spans="1:3" ht="15.75">
      <c r="A239" s="1789">
        <v>8833</v>
      </c>
      <c r="B239" s="1792" t="s">
        <v>118</v>
      </c>
      <c r="C239" s="1789">
        <v>8833</v>
      </c>
    </row>
    <row r="240" spans="1:3" ht="15.75">
      <c r="A240" s="1789">
        <v>8834</v>
      </c>
      <c r="B240" s="1793" t="s">
        <v>119</v>
      </c>
      <c r="C240" s="1789">
        <v>8834</v>
      </c>
    </row>
    <row r="241" spans="1:3" ht="15.75">
      <c r="A241" s="1789">
        <v>8835</v>
      </c>
      <c r="B241" s="1793" t="s">
        <v>590</v>
      </c>
      <c r="C241" s="1789">
        <v>8835</v>
      </c>
    </row>
    <row r="242" spans="1:3" ht="15.75">
      <c r="A242" s="1789">
        <v>8836</v>
      </c>
      <c r="B242" s="1792" t="s">
        <v>591</v>
      </c>
      <c r="C242" s="1789">
        <v>8836</v>
      </c>
    </row>
    <row r="243" spans="1:3" ht="15.75">
      <c r="A243" s="1789">
        <v>8837</v>
      </c>
      <c r="B243" s="1792" t="s">
        <v>592</v>
      </c>
      <c r="C243" s="1789">
        <v>8837</v>
      </c>
    </row>
    <row r="244" spans="1:3" ht="15.75">
      <c r="A244" s="1789">
        <v>8838</v>
      </c>
      <c r="B244" s="1792" t="s">
        <v>593</v>
      </c>
      <c r="C244" s="1789">
        <v>8838</v>
      </c>
    </row>
    <row r="245" spans="1:3" ht="15.75">
      <c r="A245" s="1789">
        <v>8839</v>
      </c>
      <c r="B245" s="1793" t="s">
        <v>594</v>
      </c>
      <c r="C245" s="1789">
        <v>8839</v>
      </c>
    </row>
    <row r="246" spans="1:3" ht="15.75">
      <c r="A246" s="1789">
        <v>8845</v>
      </c>
      <c r="B246" s="1794" t="s">
        <v>595</v>
      </c>
      <c r="C246" s="1789">
        <v>8845</v>
      </c>
    </row>
    <row r="247" spans="1:3" ht="15.75">
      <c r="A247" s="1789">
        <v>8848</v>
      </c>
      <c r="B247" s="1800" t="s">
        <v>596</v>
      </c>
      <c r="C247" s="1789">
        <v>8848</v>
      </c>
    </row>
    <row r="248" spans="1:3" ht="15.75">
      <c r="A248" s="1789">
        <v>8849</v>
      </c>
      <c r="B248" s="1792" t="s">
        <v>597</v>
      </c>
      <c r="C248" s="1789">
        <v>8849</v>
      </c>
    </row>
    <row r="249" spans="1:3" ht="15.75">
      <c r="A249" s="1789">
        <v>8851</v>
      </c>
      <c r="B249" s="1792" t="s">
        <v>598</v>
      </c>
      <c r="C249" s="1789">
        <v>8851</v>
      </c>
    </row>
    <row r="250" spans="1:3" ht="15.75">
      <c r="A250" s="1789">
        <v>8852</v>
      </c>
      <c r="B250" s="1792" t="s">
        <v>599</v>
      </c>
      <c r="C250" s="1789">
        <v>8852</v>
      </c>
    </row>
    <row r="251" spans="1:3" ht="15.75">
      <c r="A251" s="1789">
        <v>8853</v>
      </c>
      <c r="B251" s="1792" t="s">
        <v>600</v>
      </c>
      <c r="C251" s="1789">
        <v>8853</v>
      </c>
    </row>
    <row r="252" spans="1:3" ht="15.75">
      <c r="A252" s="1789">
        <v>8855</v>
      </c>
      <c r="B252" s="1794" t="s">
        <v>601</v>
      </c>
      <c r="C252" s="1789">
        <v>8855</v>
      </c>
    </row>
    <row r="253" spans="1:3" ht="15.75">
      <c r="A253" s="1789">
        <v>8858</v>
      </c>
      <c r="B253" s="1803" t="s">
        <v>602</v>
      </c>
      <c r="C253" s="1789">
        <v>8858</v>
      </c>
    </row>
    <row r="254" spans="1:3" ht="15.75">
      <c r="A254" s="1789">
        <v>8859</v>
      </c>
      <c r="B254" s="1793" t="s">
        <v>603</v>
      </c>
      <c r="C254" s="1789">
        <v>8859</v>
      </c>
    </row>
    <row r="255" spans="1:3" ht="15.75">
      <c r="A255" s="1789">
        <v>8861</v>
      </c>
      <c r="B255" s="1792" t="s">
        <v>604</v>
      </c>
      <c r="C255" s="1789">
        <v>8861</v>
      </c>
    </row>
    <row r="256" spans="1:3" ht="15.75">
      <c r="A256" s="1789">
        <v>8862</v>
      </c>
      <c r="B256" s="1793" t="s">
        <v>605</v>
      </c>
      <c r="C256" s="1789">
        <v>8862</v>
      </c>
    </row>
    <row r="257" spans="1:3" ht="15.75">
      <c r="A257" s="1789">
        <v>8863</v>
      </c>
      <c r="B257" s="1793" t="s">
        <v>606</v>
      </c>
      <c r="C257" s="1789">
        <v>8863</v>
      </c>
    </row>
    <row r="258" spans="1:3" ht="15.75">
      <c r="A258" s="1789">
        <v>8864</v>
      </c>
      <c r="B258" s="1792" t="s">
        <v>607</v>
      </c>
      <c r="C258" s="1789">
        <v>8864</v>
      </c>
    </row>
    <row r="259" spans="1:3" ht="15.75">
      <c r="A259" s="1789">
        <v>8865</v>
      </c>
      <c r="B259" s="1793" t="s">
        <v>608</v>
      </c>
      <c r="C259" s="1789">
        <v>8865</v>
      </c>
    </row>
    <row r="260" spans="1:3" ht="15.75">
      <c r="A260" s="1789">
        <v>8866</v>
      </c>
      <c r="B260" s="1793" t="s">
        <v>44</v>
      </c>
      <c r="C260" s="1789">
        <v>8866</v>
      </c>
    </row>
    <row r="261" spans="1:3" ht="15.75">
      <c r="A261" s="1789">
        <v>8867</v>
      </c>
      <c r="B261" s="1793" t="s">
        <v>45</v>
      </c>
      <c r="C261" s="1789">
        <v>8867</v>
      </c>
    </row>
    <row r="262" spans="1:3" ht="15.75">
      <c r="A262" s="1789">
        <v>8868</v>
      </c>
      <c r="B262" s="1793" t="s">
        <v>46</v>
      </c>
      <c r="C262" s="1789">
        <v>8868</v>
      </c>
    </row>
    <row r="263" spans="1:3" ht="15.75">
      <c r="A263" s="1789">
        <v>8869</v>
      </c>
      <c r="B263" s="1792" t="s">
        <v>47</v>
      </c>
      <c r="C263" s="1789">
        <v>8869</v>
      </c>
    </row>
    <row r="264" spans="1:3" ht="15.75">
      <c r="A264" s="1789">
        <v>8871</v>
      </c>
      <c r="B264" s="1793" t="s">
        <v>48</v>
      </c>
      <c r="C264" s="1789">
        <v>8871</v>
      </c>
    </row>
    <row r="265" spans="1:3" ht="15.75">
      <c r="A265" s="1789">
        <v>8872</v>
      </c>
      <c r="B265" s="1793" t="s">
        <v>616</v>
      </c>
      <c r="C265" s="1789">
        <v>8872</v>
      </c>
    </row>
    <row r="266" spans="1:3" ht="15.75">
      <c r="A266" s="1789">
        <v>8873</v>
      </c>
      <c r="B266" s="1793" t="s">
        <v>617</v>
      </c>
      <c r="C266" s="1789">
        <v>8873</v>
      </c>
    </row>
    <row r="267" spans="1:3" ht="16.5" customHeight="1">
      <c r="A267" s="1789">
        <v>8875</v>
      </c>
      <c r="B267" s="1793" t="s">
        <v>618</v>
      </c>
      <c r="C267" s="1789">
        <v>8875</v>
      </c>
    </row>
    <row r="268" spans="1:3" ht="15.75">
      <c r="A268" s="1789">
        <v>8876</v>
      </c>
      <c r="B268" s="1793" t="s">
        <v>619</v>
      </c>
      <c r="C268" s="1789">
        <v>8876</v>
      </c>
    </row>
    <row r="269" spans="1:3" ht="15.75">
      <c r="A269" s="1789">
        <v>8877</v>
      </c>
      <c r="B269" s="1792" t="s">
        <v>620</v>
      </c>
      <c r="C269" s="1789">
        <v>8877</v>
      </c>
    </row>
    <row r="270" spans="1:3" ht="15.75">
      <c r="A270" s="1789">
        <v>8878</v>
      </c>
      <c r="B270" s="1803" t="s">
        <v>621</v>
      </c>
      <c r="C270" s="1789">
        <v>8878</v>
      </c>
    </row>
    <row r="271" spans="1:3" ht="15.75">
      <c r="A271" s="1789">
        <v>8885</v>
      </c>
      <c r="B271" s="1795" t="s">
        <v>622</v>
      </c>
      <c r="C271" s="1789">
        <v>8885</v>
      </c>
    </row>
    <row r="272" spans="1:3" ht="15.75">
      <c r="A272" s="1789">
        <v>8888</v>
      </c>
      <c r="B272" s="1792" t="s">
        <v>623</v>
      </c>
      <c r="C272" s="1789">
        <v>8888</v>
      </c>
    </row>
    <row r="273" spans="1:3" ht="15.75">
      <c r="A273" s="1789">
        <v>8897</v>
      </c>
      <c r="B273" s="1792" t="s">
        <v>624</v>
      </c>
      <c r="C273" s="1789">
        <v>8897</v>
      </c>
    </row>
    <row r="274" spans="1:3" ht="15.75">
      <c r="A274" s="1789">
        <v>8898</v>
      </c>
      <c r="B274" s="1792" t="s">
        <v>625</v>
      </c>
      <c r="C274" s="1789">
        <v>8898</v>
      </c>
    </row>
    <row r="275" spans="1:3" ht="15.75">
      <c r="A275" s="1789">
        <v>9910</v>
      </c>
      <c r="B275" s="1795" t="s">
        <v>626</v>
      </c>
      <c r="C275" s="1789">
        <v>9910</v>
      </c>
    </row>
    <row r="276" spans="1:3" ht="15.75">
      <c r="A276" s="1789">
        <v>9997</v>
      </c>
      <c r="B276" s="1792" t="s">
        <v>627</v>
      </c>
      <c r="C276" s="1789">
        <v>9997</v>
      </c>
    </row>
    <row r="277" spans="1:3" ht="15.75">
      <c r="A277" s="1789">
        <v>9998</v>
      </c>
      <c r="B277" s="1792" t="s">
        <v>628</v>
      </c>
      <c r="C277" s="1789">
        <v>9998</v>
      </c>
    </row>
    <row r="282" spans="1:3">
      <c r="A282" s="1779" t="s">
        <v>780</v>
      </c>
      <c r="B282" s="1779" t="s">
        <v>782</v>
      </c>
    </row>
    <row r="283" spans="1:3">
      <c r="A283" s="1806" t="s">
        <v>629</v>
      </c>
      <c r="B283" s="1807"/>
      <c r="C283" s="1807"/>
    </row>
    <row r="284" spans="1:3">
      <c r="A284" s="1808" t="s">
        <v>1199</v>
      </c>
      <c r="B284" s="1809"/>
      <c r="C284" s="1809"/>
    </row>
    <row r="285" spans="1:3">
      <c r="A285" s="1810" t="s">
        <v>1200</v>
      </c>
      <c r="B285" s="1476" t="s">
        <v>1201</v>
      </c>
      <c r="C285" s="1476" t="s">
        <v>1199</v>
      </c>
    </row>
    <row r="286" spans="1:3">
      <c r="A286" s="1810" t="s">
        <v>1202</v>
      </c>
      <c r="B286" s="1476" t="s">
        <v>1203</v>
      </c>
      <c r="C286" s="1476" t="s">
        <v>1199</v>
      </c>
    </row>
    <row r="287" spans="1:3">
      <c r="A287" s="1810" t="s">
        <v>1204</v>
      </c>
      <c r="B287" s="1476" t="s">
        <v>1205</v>
      </c>
      <c r="C287" s="1476" t="s">
        <v>1199</v>
      </c>
    </row>
    <row r="288" spans="1:3">
      <c r="A288" s="1810" t="s">
        <v>1206</v>
      </c>
      <c r="B288" s="1476" t="s">
        <v>1207</v>
      </c>
      <c r="C288" s="1476" t="s">
        <v>1199</v>
      </c>
    </row>
    <row r="289" spans="1:3">
      <c r="A289" s="1810" t="s">
        <v>1208</v>
      </c>
      <c r="B289" s="1476" t="s">
        <v>1209</v>
      </c>
      <c r="C289" s="1476" t="s">
        <v>1199</v>
      </c>
    </row>
    <row r="290" spans="1:3">
      <c r="A290" s="1810" t="s">
        <v>1210</v>
      </c>
      <c r="B290" s="1476" t="s">
        <v>1211</v>
      </c>
      <c r="C290" s="1476" t="s">
        <v>1199</v>
      </c>
    </row>
    <row r="291" spans="1:3">
      <c r="A291" s="1810" t="s">
        <v>1212</v>
      </c>
      <c r="B291" s="1476" t="s">
        <v>1213</v>
      </c>
      <c r="C291" s="1476" t="s">
        <v>1199</v>
      </c>
    </row>
    <row r="292" spans="1:3">
      <c r="A292" s="1810" t="s">
        <v>1214</v>
      </c>
      <c r="B292" s="1476" t="s">
        <v>1215</v>
      </c>
      <c r="C292" s="1476" t="s">
        <v>1199</v>
      </c>
    </row>
    <row r="293" spans="1:3">
      <c r="A293" s="1810" t="s">
        <v>1216</v>
      </c>
      <c r="B293" s="1476" t="s">
        <v>1217</v>
      </c>
      <c r="C293" s="1476" t="s">
        <v>1199</v>
      </c>
    </row>
    <row r="294" spans="1:3">
      <c r="A294" s="1810" t="s">
        <v>1218</v>
      </c>
      <c r="B294" s="1476" t="s">
        <v>1219</v>
      </c>
      <c r="C294" s="1476" t="s">
        <v>1199</v>
      </c>
    </row>
    <row r="295" spans="1:3">
      <c r="A295" s="1810" t="s">
        <v>1220</v>
      </c>
      <c r="B295" s="1476" t="s">
        <v>1221</v>
      </c>
      <c r="C295" s="1476" t="s">
        <v>1199</v>
      </c>
    </row>
    <row r="296" spans="1:3">
      <c r="A296" s="1810" t="s">
        <v>1222</v>
      </c>
      <c r="B296" s="1476">
        <v>98315</v>
      </c>
      <c r="C296" s="1476" t="s">
        <v>1199</v>
      </c>
    </row>
    <row r="297" spans="1:3">
      <c r="A297" s="1808" t="s">
        <v>1223</v>
      </c>
      <c r="B297" s="1811"/>
      <c r="C297" s="1811"/>
    </row>
    <row r="298" spans="1:3">
      <c r="A298" s="1810" t="s">
        <v>630</v>
      </c>
      <c r="B298" s="1476" t="s">
        <v>631</v>
      </c>
      <c r="C298" s="1476" t="s">
        <v>1223</v>
      </c>
    </row>
    <row r="299" spans="1:3">
      <c r="A299" s="1810" t="s">
        <v>2131</v>
      </c>
      <c r="B299" s="1476" t="s">
        <v>632</v>
      </c>
      <c r="C299" s="1476" t="s">
        <v>1223</v>
      </c>
    </row>
    <row r="300" spans="1:3">
      <c r="A300" s="1810" t="s">
        <v>633</v>
      </c>
      <c r="B300" s="1476" t="s">
        <v>634</v>
      </c>
      <c r="C300" s="1476" t="s">
        <v>1223</v>
      </c>
    </row>
    <row r="301" spans="1:3">
      <c r="A301" s="1810" t="s">
        <v>635</v>
      </c>
      <c r="B301" s="1476" t="s">
        <v>636</v>
      </c>
      <c r="C301" s="1476" t="s">
        <v>1223</v>
      </c>
    </row>
    <row r="302" spans="1:3">
      <c r="A302" s="1810" t="s">
        <v>637</v>
      </c>
      <c r="B302" s="1476" t="s">
        <v>638</v>
      </c>
      <c r="C302" s="1476" t="s">
        <v>1223</v>
      </c>
    </row>
    <row r="303" spans="1:3">
      <c r="A303" s="1810" t="s">
        <v>2132</v>
      </c>
      <c r="B303" s="1476" t="s">
        <v>639</v>
      </c>
      <c r="C303" s="1476" t="s">
        <v>1223</v>
      </c>
    </row>
    <row r="304" spans="1:3">
      <c r="A304" s="1810" t="s">
        <v>640</v>
      </c>
      <c r="B304" s="1476" t="s">
        <v>641</v>
      </c>
      <c r="C304" s="1476" t="s">
        <v>1223</v>
      </c>
    </row>
    <row r="305" spans="1:3">
      <c r="A305" s="1810" t="s">
        <v>642</v>
      </c>
      <c r="B305" s="1476" t="s">
        <v>643</v>
      </c>
      <c r="C305" s="1476" t="s">
        <v>1223</v>
      </c>
    </row>
    <row r="306" spans="1:3">
      <c r="A306" s="1808" t="s">
        <v>2133</v>
      </c>
      <c r="B306" s="1476"/>
      <c r="C306" s="1476"/>
    </row>
    <row r="307" spans="1:3">
      <c r="A307" s="1810" t="s">
        <v>2134</v>
      </c>
      <c r="B307" s="1476" t="s">
        <v>2135</v>
      </c>
      <c r="C307" s="1476" t="s">
        <v>2133</v>
      </c>
    </row>
    <row r="308" spans="1:3">
      <c r="A308" s="1810" t="s">
        <v>2136</v>
      </c>
      <c r="B308" s="1476" t="s">
        <v>2137</v>
      </c>
      <c r="C308" s="1476" t="s">
        <v>2133</v>
      </c>
    </row>
    <row r="309" spans="1:3">
      <c r="A309" s="1810" t="s">
        <v>2138</v>
      </c>
      <c r="B309" s="1476" t="s">
        <v>2139</v>
      </c>
      <c r="C309" s="1476" t="s">
        <v>2133</v>
      </c>
    </row>
    <row r="310" spans="1:3">
      <c r="A310" s="1810" t="s">
        <v>2140</v>
      </c>
      <c r="B310" s="1476" t="s">
        <v>2141</v>
      </c>
      <c r="C310" s="1476" t="s">
        <v>2133</v>
      </c>
    </row>
    <row r="311" spans="1:3">
      <c r="A311" s="1810" t="s">
        <v>2142</v>
      </c>
      <c r="B311" s="1476" t="s">
        <v>2143</v>
      </c>
      <c r="C311" s="1476" t="s">
        <v>2133</v>
      </c>
    </row>
    <row r="312" spans="1:3">
      <c r="A312" s="1810" t="s">
        <v>2144</v>
      </c>
      <c r="B312" s="1476" t="s">
        <v>2145</v>
      </c>
      <c r="C312" s="1476" t="s">
        <v>2133</v>
      </c>
    </row>
    <row r="313" spans="1:3">
      <c r="A313" s="1810" t="s">
        <v>2146</v>
      </c>
      <c r="B313" s="1476" t="s">
        <v>2147</v>
      </c>
      <c r="C313" s="1476" t="s">
        <v>2133</v>
      </c>
    </row>
    <row r="314" spans="1:3">
      <c r="A314" s="1810" t="s">
        <v>2148</v>
      </c>
      <c r="B314" s="1476" t="s">
        <v>2149</v>
      </c>
      <c r="C314" s="1476" t="s">
        <v>2133</v>
      </c>
    </row>
    <row r="315" spans="1:3">
      <c r="A315" s="1810" t="s">
        <v>2150</v>
      </c>
      <c r="B315" s="1476" t="s">
        <v>2151</v>
      </c>
      <c r="C315" s="1476" t="s">
        <v>2133</v>
      </c>
    </row>
    <row r="316" spans="1:3">
      <c r="A316" s="1810" t="s">
        <v>2152</v>
      </c>
      <c r="B316" s="1476" t="s">
        <v>2153</v>
      </c>
      <c r="C316" s="1476" t="s">
        <v>2133</v>
      </c>
    </row>
    <row r="317" spans="1:3">
      <c r="A317" s="1810" t="s">
        <v>2154</v>
      </c>
      <c r="B317" s="1476" t="s">
        <v>2155</v>
      </c>
      <c r="C317" s="1476" t="s">
        <v>2133</v>
      </c>
    </row>
    <row r="318" spans="1:3">
      <c r="A318" s="1810" t="s">
        <v>2156</v>
      </c>
      <c r="B318" s="1476" t="s">
        <v>2157</v>
      </c>
      <c r="C318" s="1476" t="s">
        <v>2133</v>
      </c>
    </row>
    <row r="319" spans="1:3">
      <c r="A319" s="1810" t="s">
        <v>2158</v>
      </c>
      <c r="B319" s="1476">
        <v>99001</v>
      </c>
      <c r="C319" s="1476"/>
    </row>
    <row r="322" spans="1:2">
      <c r="A322" s="1779" t="s">
        <v>780</v>
      </c>
      <c r="B322" s="1779" t="s">
        <v>781</v>
      </c>
    </row>
    <row r="323" spans="1:2" ht="15.75">
      <c r="B323" s="1780" t="s">
        <v>1653</v>
      </c>
    </row>
    <row r="324" spans="1:2" ht="20.25" thickBot="1">
      <c r="B324" s="1780" t="s">
        <v>1654</v>
      </c>
    </row>
    <row r="325" spans="1:2" ht="16.5">
      <c r="A325" s="1477" t="s">
        <v>1238</v>
      </c>
      <c r="B325" s="1478" t="s">
        <v>644</v>
      </c>
    </row>
    <row r="326" spans="1:2" ht="16.5">
      <c r="A326" s="1479" t="s">
        <v>1239</v>
      </c>
      <c r="B326" s="1480" t="s">
        <v>645</v>
      </c>
    </row>
    <row r="327" spans="1:2" ht="16.5">
      <c r="A327" s="1479" t="s">
        <v>1240</v>
      </c>
      <c r="B327" s="1481" t="s">
        <v>646</v>
      </c>
    </row>
    <row r="328" spans="1:2" ht="16.5">
      <c r="A328" s="1479" t="s">
        <v>1241</v>
      </c>
      <c r="B328" s="1481" t="s">
        <v>647</v>
      </c>
    </row>
    <row r="329" spans="1:2" ht="16.5">
      <c r="A329" s="1479" t="s">
        <v>1242</v>
      </c>
      <c r="B329" s="1481" t="s">
        <v>648</v>
      </c>
    </row>
    <row r="330" spans="1:2" ht="16.5">
      <c r="A330" s="1479" t="s">
        <v>1243</v>
      </c>
      <c r="B330" s="1481" t="s">
        <v>649</v>
      </c>
    </row>
    <row r="331" spans="1:2" ht="16.5">
      <c r="A331" s="1479" t="s">
        <v>1244</v>
      </c>
      <c r="B331" s="1481" t="s">
        <v>650</v>
      </c>
    </row>
    <row r="332" spans="1:2" ht="16.5">
      <c r="A332" s="1479" t="s">
        <v>1245</v>
      </c>
      <c r="B332" s="1481" t="s">
        <v>651</v>
      </c>
    </row>
    <row r="333" spans="1:2" ht="16.5">
      <c r="A333" s="1479" t="s">
        <v>1246</v>
      </c>
      <c r="B333" s="1481" t="s">
        <v>652</v>
      </c>
    </row>
    <row r="334" spans="1:2" ht="16.5">
      <c r="A334" s="1479" t="s">
        <v>1247</v>
      </c>
      <c r="B334" s="1481" t="s">
        <v>653</v>
      </c>
    </row>
    <row r="335" spans="1:2" ht="16.5">
      <c r="A335" s="1479" t="s">
        <v>1248</v>
      </c>
      <c r="B335" s="1481" t="s">
        <v>654</v>
      </c>
    </row>
    <row r="336" spans="1:2" ht="16.5">
      <c r="A336" s="1479" t="s">
        <v>1249</v>
      </c>
      <c r="B336" s="1482" t="s">
        <v>655</v>
      </c>
    </row>
    <row r="337" spans="1:256" ht="16.5">
      <c r="A337" s="1479" t="s">
        <v>1250</v>
      </c>
      <c r="B337" s="1482" t="s">
        <v>656</v>
      </c>
    </row>
    <row r="338" spans="1:256" ht="16.5">
      <c r="A338" s="1479" t="s">
        <v>1251</v>
      </c>
      <c r="B338" s="1481" t="s">
        <v>657</v>
      </c>
      <c r="E338" s="1812"/>
      <c r="F338" s="1812"/>
      <c r="G338" s="1812"/>
      <c r="H338" s="1812"/>
      <c r="I338" s="1812"/>
      <c r="J338" s="1812"/>
      <c r="K338" s="1812"/>
      <c r="L338" s="1812"/>
      <c r="M338" s="1812"/>
      <c r="N338" s="1812"/>
      <c r="O338" s="1812"/>
      <c r="P338" s="1812"/>
      <c r="Q338" s="1812"/>
      <c r="R338" s="1812"/>
      <c r="S338" s="1812"/>
      <c r="T338" s="1812"/>
      <c r="U338" s="1812"/>
      <c r="V338" s="1812"/>
      <c r="W338" s="1812"/>
      <c r="X338" s="1812"/>
      <c r="Y338" s="1812"/>
      <c r="Z338" s="1812"/>
      <c r="AA338" s="1812"/>
      <c r="AB338" s="1812"/>
      <c r="AC338" s="1812"/>
      <c r="AD338" s="1812"/>
      <c r="AE338" s="1812"/>
      <c r="AF338" s="1812"/>
      <c r="AG338" s="1812"/>
      <c r="AH338" s="1812"/>
      <c r="AI338" s="1812"/>
      <c r="AJ338" s="1812"/>
      <c r="AK338" s="1812"/>
      <c r="AL338" s="1812"/>
      <c r="AM338" s="1812"/>
      <c r="AN338" s="1812"/>
      <c r="AO338" s="1812"/>
      <c r="AP338" s="1812"/>
      <c r="AQ338" s="1812"/>
      <c r="AR338" s="1812"/>
      <c r="AS338" s="1812"/>
      <c r="AT338" s="1812"/>
      <c r="AU338" s="1812"/>
      <c r="AV338" s="1812"/>
      <c r="AW338" s="1812"/>
      <c r="AX338" s="1812"/>
      <c r="AY338" s="1812"/>
      <c r="AZ338" s="1812"/>
      <c r="BA338" s="1812"/>
      <c r="BB338" s="1812"/>
      <c r="BC338" s="1812"/>
      <c r="BD338" s="1812"/>
      <c r="BE338" s="1812"/>
      <c r="BF338" s="1812"/>
      <c r="BG338" s="1812"/>
      <c r="BH338" s="1812"/>
      <c r="BI338" s="1812"/>
      <c r="BJ338" s="1812"/>
      <c r="BK338" s="1812"/>
      <c r="BL338" s="1812"/>
      <c r="BM338" s="1812"/>
      <c r="BN338" s="1812"/>
      <c r="BO338" s="1812"/>
      <c r="BP338" s="1812"/>
      <c r="BQ338" s="1812"/>
      <c r="BR338" s="1812"/>
      <c r="BS338" s="1812"/>
      <c r="BT338" s="1812"/>
      <c r="BU338" s="1812"/>
      <c r="BV338" s="1812"/>
      <c r="BW338" s="1812"/>
      <c r="BX338" s="1812"/>
      <c r="BY338" s="1812"/>
      <c r="BZ338" s="1812"/>
      <c r="CA338" s="1812"/>
      <c r="CB338" s="1812"/>
      <c r="CC338" s="1812"/>
      <c r="CD338" s="1812"/>
      <c r="CE338" s="1812"/>
      <c r="CF338" s="1812"/>
      <c r="CG338" s="1812"/>
      <c r="CH338" s="1812"/>
      <c r="CI338" s="1812"/>
      <c r="CJ338" s="1812"/>
      <c r="CK338" s="1812"/>
      <c r="CL338" s="1812"/>
      <c r="CM338" s="1812"/>
      <c r="CN338" s="1812"/>
      <c r="CO338" s="1812"/>
      <c r="CP338" s="1812"/>
      <c r="CQ338" s="1812"/>
      <c r="CR338" s="1812"/>
      <c r="CS338" s="1812"/>
      <c r="CT338" s="1812"/>
      <c r="CU338" s="1812"/>
      <c r="CV338" s="1812"/>
      <c r="CW338" s="1812"/>
      <c r="CX338" s="1812"/>
      <c r="CY338" s="1812"/>
      <c r="CZ338" s="1812"/>
      <c r="DA338" s="1812"/>
      <c r="DB338" s="1812"/>
      <c r="DC338" s="1812"/>
      <c r="DD338" s="1812"/>
      <c r="DE338" s="1812"/>
      <c r="DF338" s="1812"/>
      <c r="DG338" s="1812"/>
      <c r="DH338" s="1812"/>
      <c r="DI338" s="1812"/>
      <c r="DJ338" s="1812"/>
      <c r="DK338" s="1812"/>
      <c r="DL338" s="1812"/>
      <c r="DM338" s="1812"/>
      <c r="DN338" s="1812"/>
      <c r="DO338" s="1812"/>
      <c r="DP338" s="1812"/>
      <c r="DQ338" s="1812"/>
      <c r="DR338" s="1812"/>
      <c r="DS338" s="1812"/>
      <c r="DT338" s="1812"/>
      <c r="DU338" s="1812"/>
      <c r="DV338" s="1812"/>
      <c r="DW338" s="1812"/>
      <c r="DX338" s="1812"/>
      <c r="DY338" s="1812"/>
      <c r="DZ338" s="1812"/>
      <c r="EA338" s="1812"/>
      <c r="EB338" s="1812"/>
      <c r="EC338" s="1812"/>
      <c r="ED338" s="1812"/>
      <c r="EE338" s="1812"/>
      <c r="EF338" s="1812"/>
      <c r="EG338" s="1812"/>
      <c r="EH338" s="1812"/>
      <c r="EI338" s="1812"/>
      <c r="EJ338" s="1812"/>
      <c r="EK338" s="1812"/>
      <c r="EL338" s="1812"/>
      <c r="EM338" s="1812"/>
      <c r="EN338" s="1812"/>
      <c r="EO338" s="1812"/>
      <c r="EP338" s="1812"/>
      <c r="EQ338" s="1812"/>
      <c r="ER338" s="1812"/>
      <c r="ES338" s="1812"/>
      <c r="ET338" s="1812"/>
      <c r="EU338" s="1812"/>
      <c r="EV338" s="1812"/>
      <c r="EW338" s="1812"/>
      <c r="EX338" s="1812"/>
      <c r="EY338" s="1812"/>
      <c r="EZ338" s="1812"/>
      <c r="FA338" s="1812"/>
      <c r="FB338" s="1812"/>
      <c r="FC338" s="1812"/>
      <c r="FD338" s="1812"/>
      <c r="FE338" s="1812"/>
      <c r="FF338" s="1812"/>
      <c r="FG338" s="1812"/>
      <c r="FH338" s="1812"/>
      <c r="FI338" s="1812"/>
      <c r="FJ338" s="1812"/>
      <c r="FK338" s="1812"/>
      <c r="FL338" s="1812"/>
      <c r="FM338" s="1812"/>
      <c r="FN338" s="1812"/>
      <c r="FO338" s="1812"/>
      <c r="FP338" s="1812"/>
      <c r="FQ338" s="1812"/>
      <c r="FR338" s="1812"/>
      <c r="FS338" s="1812"/>
      <c r="FT338" s="1812"/>
      <c r="FU338" s="1812"/>
      <c r="FV338" s="1812"/>
      <c r="FW338" s="1812"/>
      <c r="FX338" s="1812"/>
      <c r="FY338" s="1812"/>
      <c r="FZ338" s="1812"/>
      <c r="GA338" s="1812"/>
      <c r="GB338" s="1812"/>
      <c r="GC338" s="1812"/>
      <c r="GD338" s="1812"/>
      <c r="GE338" s="1812"/>
      <c r="GF338" s="1812"/>
      <c r="GG338" s="1812"/>
      <c r="GH338" s="1812"/>
      <c r="GI338" s="1812"/>
      <c r="GJ338" s="1812"/>
      <c r="GK338" s="1812"/>
      <c r="GL338" s="1812"/>
      <c r="GM338" s="1812"/>
      <c r="GN338" s="1812"/>
      <c r="GO338" s="1812"/>
      <c r="GP338" s="1812"/>
      <c r="GQ338" s="1812"/>
      <c r="GR338" s="1812"/>
      <c r="GS338" s="1812"/>
      <c r="GT338" s="1812"/>
      <c r="GU338" s="1812"/>
      <c r="GV338" s="1812"/>
      <c r="GW338" s="1812"/>
      <c r="GX338" s="1812"/>
      <c r="GY338" s="1812"/>
      <c r="GZ338" s="1812"/>
      <c r="HA338" s="1812"/>
      <c r="HB338" s="1812"/>
      <c r="HC338" s="1812"/>
      <c r="HD338" s="1812"/>
      <c r="HE338" s="1812"/>
      <c r="HF338" s="1812"/>
      <c r="HG338" s="1812"/>
      <c r="HH338" s="1812"/>
      <c r="HI338" s="1812"/>
      <c r="HJ338" s="1812"/>
      <c r="HK338" s="1812"/>
      <c r="HL338" s="1812"/>
      <c r="HM338" s="1812"/>
      <c r="HN338" s="1812"/>
      <c r="HO338" s="1812"/>
      <c r="HP338" s="1812"/>
      <c r="HQ338" s="1812"/>
      <c r="HR338" s="1812"/>
      <c r="HS338" s="1812"/>
      <c r="HT338" s="1812"/>
      <c r="HU338" s="1812"/>
      <c r="HV338" s="1812"/>
      <c r="HW338" s="1812"/>
      <c r="HX338" s="1812"/>
      <c r="HY338" s="1812"/>
      <c r="HZ338" s="1812"/>
      <c r="IA338" s="1812"/>
      <c r="IB338" s="1812"/>
      <c r="IC338" s="1812"/>
      <c r="ID338" s="1812"/>
      <c r="IE338" s="1812"/>
      <c r="IF338" s="1812"/>
      <c r="IG338" s="1812"/>
      <c r="IH338" s="1812"/>
      <c r="II338" s="1812"/>
      <c r="IJ338" s="1812"/>
      <c r="IK338" s="1812"/>
      <c r="IL338" s="1812"/>
      <c r="IM338" s="1812"/>
      <c r="IN338" s="1812"/>
      <c r="IO338" s="1812"/>
      <c r="IP338" s="1812"/>
      <c r="IQ338" s="1812"/>
      <c r="IR338" s="1812"/>
      <c r="IS338" s="1812"/>
      <c r="IT338" s="1812"/>
      <c r="IU338" s="1812"/>
      <c r="IV338" s="1812"/>
    </row>
    <row r="339" spans="1:256" ht="16.5">
      <c r="A339" s="1479" t="s">
        <v>1252</v>
      </c>
      <c r="B339" s="1481" t="s">
        <v>658</v>
      </c>
    </row>
    <row r="340" spans="1:256" ht="16.5">
      <c r="A340" s="1479" t="s">
        <v>1253</v>
      </c>
      <c r="B340" s="1481" t="s">
        <v>659</v>
      </c>
    </row>
    <row r="341" spans="1:256" ht="16.5">
      <c r="A341" s="1479" t="s">
        <v>1254</v>
      </c>
      <c r="B341" s="1481" t="s">
        <v>1224</v>
      </c>
    </row>
    <row r="342" spans="1:256" ht="16.5">
      <c r="A342" s="1479" t="s">
        <v>1255</v>
      </c>
      <c r="B342" s="1481" t="s">
        <v>1225</v>
      </c>
    </row>
    <row r="343" spans="1:256" ht="16.5">
      <c r="A343" s="1479" t="s">
        <v>1256</v>
      </c>
      <c r="B343" s="1481" t="s">
        <v>660</v>
      </c>
    </row>
    <row r="344" spans="1:256" ht="16.5">
      <c r="A344" s="1479" t="s">
        <v>1257</v>
      </c>
      <c r="B344" s="1481" t="s">
        <v>661</v>
      </c>
    </row>
    <row r="345" spans="1:256" ht="16.5">
      <c r="A345" s="1479" t="s">
        <v>1258</v>
      </c>
      <c r="B345" s="1481" t="s">
        <v>1226</v>
      </c>
    </row>
    <row r="346" spans="1:256" ht="16.5">
      <c r="A346" s="1479" t="s">
        <v>1259</v>
      </c>
      <c r="B346" s="1481" t="s">
        <v>662</v>
      </c>
    </row>
    <row r="347" spans="1:256" ht="16.5">
      <c r="A347" s="1479" t="s">
        <v>1260</v>
      </c>
      <c r="B347" s="1481" t="s">
        <v>663</v>
      </c>
    </row>
    <row r="348" spans="1:256" ht="31.5">
      <c r="A348" s="1483" t="s">
        <v>1261</v>
      </c>
      <c r="B348" s="1484" t="s">
        <v>72</v>
      </c>
    </row>
    <row r="349" spans="1:256" ht="16.5">
      <c r="A349" s="1485" t="s">
        <v>1262</v>
      </c>
      <c r="B349" s="1486" t="s">
        <v>73</v>
      </c>
    </row>
    <row r="350" spans="1:256" ht="16.5">
      <c r="A350" s="1485" t="s">
        <v>1263</v>
      </c>
      <c r="B350" s="1486" t="s">
        <v>74</v>
      </c>
    </row>
    <row r="351" spans="1:256" ht="16.5">
      <c r="A351" s="1485" t="s">
        <v>1264</v>
      </c>
      <c r="B351" s="1486" t="s">
        <v>1227</v>
      </c>
    </row>
    <row r="352" spans="1:256" ht="16.5">
      <c r="A352" s="1479" t="s">
        <v>1265</v>
      </c>
      <c r="B352" s="1481" t="s">
        <v>75</v>
      </c>
    </row>
    <row r="353" spans="1:5" ht="16.5">
      <c r="A353" s="1479" t="s">
        <v>1266</v>
      </c>
      <c r="B353" s="1481" t="s">
        <v>76</v>
      </c>
    </row>
    <row r="354" spans="1:5" ht="16.5">
      <c r="A354" s="1479" t="s">
        <v>1267</v>
      </c>
      <c r="B354" s="1481" t="s">
        <v>1228</v>
      </c>
    </row>
    <row r="355" spans="1:5" ht="16.5">
      <c r="A355" s="1479" t="s">
        <v>1268</v>
      </c>
      <c r="B355" s="1481" t="s">
        <v>77</v>
      </c>
      <c r="E355" s="1813"/>
    </row>
    <row r="356" spans="1:5" ht="16.5">
      <c r="A356" s="1479" t="s">
        <v>1269</v>
      </c>
      <c r="B356" s="1481" t="s">
        <v>78</v>
      </c>
      <c r="E356" s="1813"/>
    </row>
    <row r="357" spans="1:5" ht="16.5">
      <c r="A357" s="1479" t="s">
        <v>1270</v>
      </c>
      <c r="B357" s="1481" t="s">
        <v>79</v>
      </c>
      <c r="E357" s="1813"/>
    </row>
    <row r="358" spans="1:5" ht="16.5">
      <c r="A358" s="1479" t="s">
        <v>1271</v>
      </c>
      <c r="B358" s="1486" t="s">
        <v>80</v>
      </c>
      <c r="E358" s="1813"/>
    </row>
    <row r="359" spans="1:5" ht="16.5">
      <c r="A359" s="1479" t="s">
        <v>1272</v>
      </c>
      <c r="B359" s="1486" t="s">
        <v>81</v>
      </c>
      <c r="E359" s="1813"/>
    </row>
    <row r="360" spans="1:5" ht="16.5">
      <c r="A360" s="1479" t="s">
        <v>1273</v>
      </c>
      <c r="B360" s="1486" t="s">
        <v>1229</v>
      </c>
      <c r="E360" s="1813"/>
    </row>
    <row r="361" spans="1:5" ht="16.5">
      <c r="A361" s="1479" t="s">
        <v>1274</v>
      </c>
      <c r="B361" s="1481" t="s">
        <v>82</v>
      </c>
      <c r="E361" s="1813"/>
    </row>
    <row r="362" spans="1:5" ht="16.5">
      <c r="A362" s="1479" t="s">
        <v>1275</v>
      </c>
      <c r="B362" s="1481" t="s">
        <v>83</v>
      </c>
      <c r="E362" s="1813"/>
    </row>
    <row r="363" spans="1:5" ht="16.5">
      <c r="A363" s="1479" t="s">
        <v>1276</v>
      </c>
      <c r="B363" s="1486" t="s">
        <v>84</v>
      </c>
      <c r="E363" s="1813"/>
    </row>
    <row r="364" spans="1:5" ht="16.5">
      <c r="A364" s="1479" t="s">
        <v>1277</v>
      </c>
      <c r="B364" s="1481" t="s">
        <v>85</v>
      </c>
      <c r="E364" s="1813"/>
    </row>
    <row r="365" spans="1:5" ht="16.5">
      <c r="A365" s="1479" t="s">
        <v>1278</v>
      </c>
      <c r="B365" s="1481" t="s">
        <v>86</v>
      </c>
      <c r="E365" s="1813"/>
    </row>
    <row r="366" spans="1:5" ht="16.5">
      <c r="A366" s="1479" t="s">
        <v>1279</v>
      </c>
      <c r="B366" s="1481" t="s">
        <v>87</v>
      </c>
      <c r="E366" s="1813"/>
    </row>
    <row r="367" spans="1:5" ht="16.5">
      <c r="A367" s="1479" t="s">
        <v>1280</v>
      </c>
      <c r="B367" s="1481" t="s">
        <v>88</v>
      </c>
      <c r="E367" s="1813"/>
    </row>
    <row r="368" spans="1:5" ht="16.5">
      <c r="A368" s="1479" t="s">
        <v>1281</v>
      </c>
      <c r="B368" s="1481" t="s">
        <v>1230</v>
      </c>
      <c r="E368" s="1813"/>
    </row>
    <row r="369" spans="1:5" ht="16.5">
      <c r="A369" s="1479" t="s">
        <v>2033</v>
      </c>
      <c r="B369" s="1481" t="s">
        <v>2034</v>
      </c>
      <c r="E369" s="1813"/>
    </row>
    <row r="370" spans="1:5" ht="16.5">
      <c r="A370" s="1479" t="s">
        <v>2167</v>
      </c>
      <c r="B370" s="1481" t="s">
        <v>2168</v>
      </c>
      <c r="E370" s="1813"/>
    </row>
    <row r="371" spans="1:5" ht="16.5">
      <c r="A371" s="1479" t="s">
        <v>1282</v>
      </c>
      <c r="B371" s="1481" t="s">
        <v>445</v>
      </c>
      <c r="E371" s="1813"/>
    </row>
    <row r="372" spans="1:5" ht="16.5">
      <c r="A372" s="1487" t="s">
        <v>1283</v>
      </c>
      <c r="B372" s="1488" t="s">
        <v>446</v>
      </c>
      <c r="E372" s="1813"/>
    </row>
    <row r="373" spans="1:5" ht="16.5">
      <c r="A373" s="1489" t="s">
        <v>1284</v>
      </c>
      <c r="B373" s="1490" t="s">
        <v>447</v>
      </c>
      <c r="E373" s="1813"/>
    </row>
    <row r="374" spans="1:5" ht="16.5">
      <c r="A374" s="1489" t="s">
        <v>1285</v>
      </c>
      <c r="B374" s="1490" t="s">
        <v>448</v>
      </c>
      <c r="E374" s="1813"/>
    </row>
    <row r="375" spans="1:5" ht="16.5">
      <c r="A375" s="1489" t="s">
        <v>1286</v>
      </c>
      <c r="B375" s="1490" t="s">
        <v>449</v>
      </c>
      <c r="E375" s="1813"/>
    </row>
    <row r="376" spans="1:5" ht="17.25" thickBot="1">
      <c r="A376" s="1491" t="s">
        <v>1287</v>
      </c>
      <c r="B376" s="1492" t="s">
        <v>450</v>
      </c>
      <c r="E376" s="1813"/>
    </row>
    <row r="377" spans="1:5" ht="19.5">
      <c r="A377" s="1814"/>
      <c r="B377" s="1493" t="s">
        <v>2088</v>
      </c>
      <c r="E377" s="1813"/>
    </row>
    <row r="378" spans="1:5" ht="18.75">
      <c r="A378" s="1532"/>
      <c r="B378" s="1495" t="s">
        <v>1655</v>
      </c>
      <c r="E378" s="1813"/>
    </row>
    <row r="379" spans="1:5" ht="18.75">
      <c r="A379" s="1532"/>
      <c r="B379" s="1496" t="s">
        <v>2089</v>
      </c>
      <c r="E379" s="1813"/>
    </row>
    <row r="380" spans="1:5" ht="18.75">
      <c r="A380" s="1498" t="s">
        <v>1288</v>
      </c>
      <c r="B380" s="1497" t="s">
        <v>2090</v>
      </c>
      <c r="E380" s="1813"/>
    </row>
    <row r="381" spans="1:5" ht="18.75">
      <c r="A381" s="1498" t="s">
        <v>1289</v>
      </c>
      <c r="B381" s="1499" t="s">
        <v>2091</v>
      </c>
      <c r="E381" s="1813"/>
    </row>
    <row r="382" spans="1:5" ht="18.75">
      <c r="A382" s="1498" t="s">
        <v>1290</v>
      </c>
      <c r="B382" s="1500" t="s">
        <v>2092</v>
      </c>
      <c r="E382" s="1813"/>
    </row>
    <row r="383" spans="1:5" ht="18.75">
      <c r="A383" s="1498" t="s">
        <v>1291</v>
      </c>
      <c r="B383" s="1500" t="s">
        <v>2093</v>
      </c>
      <c r="E383" s="1813"/>
    </row>
    <row r="384" spans="1:5" ht="18.75">
      <c r="A384" s="1498" t="s">
        <v>1292</v>
      </c>
      <c r="B384" s="1500" t="s">
        <v>2094</v>
      </c>
      <c r="E384" s="1813"/>
    </row>
    <row r="385" spans="1:5" ht="18.75">
      <c r="A385" s="1498" t="s">
        <v>1293</v>
      </c>
      <c r="B385" s="1500" t="s">
        <v>2095</v>
      </c>
      <c r="E385" s="1813"/>
    </row>
    <row r="386" spans="1:5" ht="18.75">
      <c r="A386" s="1498" t="s">
        <v>1294</v>
      </c>
      <c r="B386" s="1500" t="s">
        <v>2096</v>
      </c>
      <c r="E386" s="1813"/>
    </row>
    <row r="387" spans="1:5" ht="18.75">
      <c r="A387" s="1498" t="s">
        <v>1295</v>
      </c>
      <c r="B387" s="1501" t="s">
        <v>2097</v>
      </c>
      <c r="E387" s="1813"/>
    </row>
    <row r="388" spans="1:5" ht="18.75">
      <c r="A388" s="1498" t="s">
        <v>1296</v>
      </c>
      <c r="B388" s="1501" t="s">
        <v>2098</v>
      </c>
      <c r="E388" s="1813"/>
    </row>
    <row r="389" spans="1:5" ht="18.75">
      <c r="A389" s="1498" t="s">
        <v>1297</v>
      </c>
      <c r="B389" s="1501" t="s">
        <v>2099</v>
      </c>
      <c r="E389" s="1813"/>
    </row>
    <row r="390" spans="1:5" ht="18.75">
      <c r="A390" s="1498" t="s">
        <v>1298</v>
      </c>
      <c r="B390" s="1501" t="s">
        <v>2100</v>
      </c>
      <c r="E390" s="1813"/>
    </row>
    <row r="391" spans="1:5" ht="18.75">
      <c r="A391" s="1498" t="s">
        <v>1299</v>
      </c>
      <c r="B391" s="1502" t="s">
        <v>2101</v>
      </c>
      <c r="E391" s="1813"/>
    </row>
    <row r="392" spans="1:5" ht="18.75">
      <c r="A392" s="1498" t="s">
        <v>1300</v>
      </c>
      <c r="B392" s="1502" t="s">
        <v>2102</v>
      </c>
      <c r="E392" s="1813"/>
    </row>
    <row r="393" spans="1:5" ht="18.75">
      <c r="A393" s="1498" t="s">
        <v>1301</v>
      </c>
      <c r="B393" s="1501" t="s">
        <v>2103</v>
      </c>
      <c r="E393" s="1813"/>
    </row>
    <row r="394" spans="1:5" ht="18.75">
      <c r="A394" s="1498" t="s">
        <v>1302</v>
      </c>
      <c r="B394" s="1501" t="s">
        <v>2104</v>
      </c>
      <c r="C394" s="1815" t="s">
        <v>178</v>
      </c>
      <c r="E394" s="1813"/>
    </row>
    <row r="395" spans="1:5" ht="18.75">
      <c r="A395" s="1498" t="s">
        <v>1303</v>
      </c>
      <c r="B395" s="1500" t="s">
        <v>2105</v>
      </c>
      <c r="C395" s="1815" t="s">
        <v>178</v>
      </c>
      <c r="E395" s="1813"/>
    </row>
    <row r="396" spans="1:5" ht="18.75">
      <c r="A396" s="1498" t="s">
        <v>1304</v>
      </c>
      <c r="B396" s="1501" t="s">
        <v>2106</v>
      </c>
      <c r="C396" s="1815" t="s">
        <v>178</v>
      </c>
      <c r="E396" s="1813"/>
    </row>
    <row r="397" spans="1:5" ht="18.75">
      <c r="A397" s="1498" t="s">
        <v>1305</v>
      </c>
      <c r="B397" s="1501" t="s">
        <v>2107</v>
      </c>
      <c r="C397" s="1815" t="s">
        <v>178</v>
      </c>
      <c r="E397" s="1813"/>
    </row>
    <row r="398" spans="1:5" ht="18.75">
      <c r="A398" s="1498" t="s">
        <v>1306</v>
      </c>
      <c r="B398" s="1501" t="s">
        <v>2108</v>
      </c>
      <c r="C398" s="1815" t="s">
        <v>178</v>
      </c>
      <c r="E398" s="1813"/>
    </row>
    <row r="399" spans="1:5" ht="18.75">
      <c r="A399" s="1498" t="s">
        <v>1307</v>
      </c>
      <c r="B399" s="1501" t="s">
        <v>2109</v>
      </c>
      <c r="C399" s="1815" t="s">
        <v>178</v>
      </c>
      <c r="E399" s="1813"/>
    </row>
    <row r="400" spans="1:5" ht="18.75">
      <c r="A400" s="1498" t="s">
        <v>1308</v>
      </c>
      <c r="B400" s="1501" t="s">
        <v>2110</v>
      </c>
      <c r="C400" s="1815" t="s">
        <v>178</v>
      </c>
      <c r="E400" s="1813"/>
    </row>
    <row r="401" spans="1:5" ht="18.75">
      <c r="A401" s="1498" t="s">
        <v>1309</v>
      </c>
      <c r="B401" s="1501" t="s">
        <v>2111</v>
      </c>
      <c r="C401" s="1815" t="s">
        <v>178</v>
      </c>
      <c r="E401" s="1813"/>
    </row>
    <row r="402" spans="1:5" ht="18.75">
      <c r="A402" s="1498" t="s">
        <v>1310</v>
      </c>
      <c r="B402" s="1501" t="s">
        <v>2112</v>
      </c>
      <c r="C402" s="1815" t="s">
        <v>178</v>
      </c>
      <c r="E402" s="1813"/>
    </row>
    <row r="403" spans="1:5" ht="18.75">
      <c r="A403" s="1498" t="s">
        <v>1311</v>
      </c>
      <c r="B403" s="1500" t="s">
        <v>2113</v>
      </c>
      <c r="C403" s="1815" t="s">
        <v>178</v>
      </c>
      <c r="E403" s="1813"/>
    </row>
    <row r="404" spans="1:5" ht="18.75">
      <c r="A404" s="1498" t="s">
        <v>1312</v>
      </c>
      <c r="B404" s="1501" t="s">
        <v>2114</v>
      </c>
      <c r="C404" s="1815" t="s">
        <v>178</v>
      </c>
      <c r="E404" s="1813"/>
    </row>
    <row r="405" spans="1:5" ht="18.75">
      <c r="A405" s="1498" t="s">
        <v>1313</v>
      </c>
      <c r="B405" s="1500" t="s">
        <v>2115</v>
      </c>
      <c r="C405" s="1815" t="s">
        <v>178</v>
      </c>
      <c r="E405" s="1813"/>
    </row>
    <row r="406" spans="1:5" ht="18.75">
      <c r="A406" s="1498" t="s">
        <v>1314</v>
      </c>
      <c r="B406" s="1500" t="s">
        <v>2116</v>
      </c>
      <c r="C406" s="1815" t="s">
        <v>178</v>
      </c>
      <c r="E406" s="1813"/>
    </row>
    <row r="407" spans="1:5" ht="18.75">
      <c r="A407" s="1498" t="s">
        <v>1315</v>
      </c>
      <c r="B407" s="1500" t="s">
        <v>2117</v>
      </c>
      <c r="C407" s="1815" t="s">
        <v>178</v>
      </c>
      <c r="E407" s="1813"/>
    </row>
    <row r="408" spans="1:5" ht="18.75">
      <c r="A408" s="1498" t="s">
        <v>1316</v>
      </c>
      <c r="B408" s="1500" t="s">
        <v>2118</v>
      </c>
      <c r="C408" s="1815" t="s">
        <v>178</v>
      </c>
      <c r="E408" s="1813"/>
    </row>
    <row r="409" spans="1:5" ht="18.75">
      <c r="A409" s="1498" t="s">
        <v>1317</v>
      </c>
      <c r="B409" s="1500" t="s">
        <v>2119</v>
      </c>
      <c r="C409" s="1815" t="s">
        <v>178</v>
      </c>
      <c r="E409" s="1813"/>
    </row>
    <row r="410" spans="1:5" ht="18.75">
      <c r="A410" s="1498" t="s">
        <v>1318</v>
      </c>
      <c r="B410" s="1500" t="s">
        <v>2120</v>
      </c>
      <c r="C410" s="1815" t="s">
        <v>178</v>
      </c>
      <c r="E410" s="1813"/>
    </row>
    <row r="411" spans="1:5" ht="18.75">
      <c r="A411" s="1498" t="s">
        <v>1319</v>
      </c>
      <c r="B411" s="1500" t="s">
        <v>2121</v>
      </c>
      <c r="C411" s="1815" t="s">
        <v>178</v>
      </c>
      <c r="E411" s="1813"/>
    </row>
    <row r="412" spans="1:5" ht="18.75">
      <c r="A412" s="1498" t="s">
        <v>1320</v>
      </c>
      <c r="B412" s="1500" t="s">
        <v>2122</v>
      </c>
      <c r="C412" s="1815" t="s">
        <v>178</v>
      </c>
      <c r="E412" s="1813"/>
    </row>
    <row r="413" spans="1:5" ht="18.75">
      <c r="A413" s="1498" t="s">
        <v>1321</v>
      </c>
      <c r="B413" s="1503" t="s">
        <v>2123</v>
      </c>
      <c r="C413" s="1815" t="s">
        <v>178</v>
      </c>
      <c r="E413" s="1813"/>
    </row>
    <row r="414" spans="1:5" ht="18.75">
      <c r="A414" s="1498" t="s">
        <v>1322</v>
      </c>
      <c r="B414" s="1816" t="s">
        <v>1231</v>
      </c>
      <c r="C414" s="1815" t="s">
        <v>178</v>
      </c>
      <c r="E414" s="1813"/>
    </row>
    <row r="415" spans="1:5" ht="18.75">
      <c r="A415" s="1533" t="s">
        <v>1323</v>
      </c>
      <c r="B415" s="1504" t="s">
        <v>1656</v>
      </c>
      <c r="C415" s="1815" t="s">
        <v>178</v>
      </c>
      <c r="E415" s="1813"/>
    </row>
    <row r="416" spans="1:5" ht="18.75">
      <c r="A416" s="1532" t="s">
        <v>178</v>
      </c>
      <c r="B416" s="1505" t="s">
        <v>1657</v>
      </c>
      <c r="C416" s="1815" t="s">
        <v>178</v>
      </c>
      <c r="E416" s="1813"/>
    </row>
    <row r="417" spans="1:5" ht="18.75">
      <c r="A417" s="1510" t="s">
        <v>1324</v>
      </c>
      <c r="B417" s="1506" t="s">
        <v>2124</v>
      </c>
      <c r="C417" s="1815" t="s">
        <v>178</v>
      </c>
      <c r="E417" s="1813"/>
    </row>
    <row r="418" spans="1:5" ht="18.75">
      <c r="A418" s="1498" t="s">
        <v>1325</v>
      </c>
      <c r="B418" s="1486" t="s">
        <v>2125</v>
      </c>
      <c r="C418" s="1815" t="s">
        <v>178</v>
      </c>
      <c r="E418" s="1813"/>
    </row>
    <row r="419" spans="1:5" ht="18.75">
      <c r="A419" s="1534" t="s">
        <v>1326</v>
      </c>
      <c r="B419" s="1507" t="s">
        <v>2126</v>
      </c>
      <c r="C419" s="1815" t="s">
        <v>178</v>
      </c>
      <c r="E419" s="1813"/>
    </row>
    <row r="420" spans="1:5" ht="18.75">
      <c r="A420" s="1494" t="s">
        <v>178</v>
      </c>
      <c r="B420" s="1508" t="s">
        <v>1658</v>
      </c>
      <c r="C420" s="1815" t="s">
        <v>178</v>
      </c>
      <c r="E420" s="1813"/>
    </row>
    <row r="421" spans="1:5" ht="16.5">
      <c r="A421" s="1479" t="s">
        <v>1278</v>
      </c>
      <c r="B421" s="1481" t="s">
        <v>86</v>
      </c>
      <c r="C421" s="1815" t="s">
        <v>178</v>
      </c>
      <c r="E421" s="1813"/>
    </row>
    <row r="422" spans="1:5" ht="16.5">
      <c r="A422" s="1479" t="s">
        <v>1279</v>
      </c>
      <c r="B422" s="1481" t="s">
        <v>87</v>
      </c>
      <c r="C422" s="1815" t="s">
        <v>178</v>
      </c>
      <c r="E422" s="1813"/>
    </row>
    <row r="423" spans="1:5" ht="16.5">
      <c r="A423" s="1535" t="s">
        <v>1280</v>
      </c>
      <c r="B423" s="1509" t="s">
        <v>88</v>
      </c>
      <c r="C423" s="1815" t="s">
        <v>178</v>
      </c>
      <c r="E423" s="1813"/>
    </row>
    <row r="424" spans="1:5" ht="18.75">
      <c r="A424" s="1532" t="s">
        <v>178</v>
      </c>
      <c r="B424" s="1508" t="s">
        <v>1659</v>
      </c>
      <c r="C424" s="1815" t="s">
        <v>178</v>
      </c>
      <c r="E424" s="1813"/>
    </row>
    <row r="425" spans="1:5" ht="18.75">
      <c r="A425" s="1510" t="s">
        <v>1327</v>
      </c>
      <c r="B425" s="1506" t="s">
        <v>1232</v>
      </c>
      <c r="C425" s="1815" t="s">
        <v>178</v>
      </c>
      <c r="E425" s="1813"/>
    </row>
    <row r="426" spans="1:5" ht="18.75">
      <c r="A426" s="1510" t="s">
        <v>1328</v>
      </c>
      <c r="B426" s="1506" t="s">
        <v>1233</v>
      </c>
      <c r="C426" s="1815" t="s">
        <v>178</v>
      </c>
      <c r="E426" s="1813"/>
    </row>
    <row r="427" spans="1:5" ht="18.75">
      <c r="A427" s="1510" t="s">
        <v>1329</v>
      </c>
      <c r="B427" s="1506" t="s">
        <v>179</v>
      </c>
      <c r="C427" s="1815" t="s">
        <v>178</v>
      </c>
      <c r="E427" s="1813"/>
    </row>
    <row r="428" spans="1:5" ht="19.5" thickBot="1">
      <c r="A428" s="1536" t="s">
        <v>1330</v>
      </c>
      <c r="B428" s="1511" t="s">
        <v>180</v>
      </c>
      <c r="C428" s="1815" t="s">
        <v>178</v>
      </c>
      <c r="E428" s="1813"/>
    </row>
    <row r="429" spans="1:5" ht="17.25" thickBot="1">
      <c r="A429" s="1537" t="s">
        <v>1331</v>
      </c>
      <c r="B429" s="1511" t="s">
        <v>1234</v>
      </c>
      <c r="C429" s="1815" t="s">
        <v>178</v>
      </c>
      <c r="E429" s="1813"/>
    </row>
    <row r="430" spans="1:5" ht="16.5">
      <c r="A430" s="1537" t="s">
        <v>1332</v>
      </c>
      <c r="B430" s="1512" t="s">
        <v>709</v>
      </c>
      <c r="C430" s="1815" t="s">
        <v>178</v>
      </c>
      <c r="E430" s="1813"/>
    </row>
    <row r="431" spans="1:5" ht="16.5">
      <c r="A431" s="1479" t="s">
        <v>1333</v>
      </c>
      <c r="B431" s="1481" t="s">
        <v>710</v>
      </c>
      <c r="C431" s="1815" t="s">
        <v>178</v>
      </c>
      <c r="E431" s="1813"/>
    </row>
    <row r="432" spans="1:5" ht="19.5" thickBot="1">
      <c r="A432" s="1538" t="s">
        <v>1334</v>
      </c>
      <c r="B432" s="1513" t="s">
        <v>711</v>
      </c>
      <c r="C432" s="1815" t="s">
        <v>178</v>
      </c>
      <c r="E432" s="1813"/>
    </row>
    <row r="433" spans="1:5" ht="16.5">
      <c r="A433" s="1477" t="s">
        <v>1335</v>
      </c>
      <c r="B433" s="1514" t="s">
        <v>712</v>
      </c>
      <c r="C433" s="1815" t="s">
        <v>178</v>
      </c>
      <c r="E433" s="1813"/>
    </row>
    <row r="434" spans="1:5" ht="16.5">
      <c r="A434" s="1539" t="s">
        <v>1336</v>
      </c>
      <c r="B434" s="1481" t="s">
        <v>713</v>
      </c>
      <c r="C434" s="1815" t="s">
        <v>178</v>
      </c>
      <c r="E434" s="1813"/>
    </row>
    <row r="435" spans="1:5" ht="16.5">
      <c r="A435" s="1479" t="s">
        <v>1337</v>
      </c>
      <c r="B435" s="1515" t="s">
        <v>297</v>
      </c>
      <c r="C435" s="1815" t="s">
        <v>178</v>
      </c>
      <c r="E435" s="1813"/>
    </row>
    <row r="436" spans="1:5" ht="17.25" thickBot="1">
      <c r="A436" s="1491" t="s">
        <v>1338</v>
      </c>
      <c r="B436" s="1516" t="s">
        <v>298</v>
      </c>
      <c r="C436" s="1815" t="s">
        <v>178</v>
      </c>
      <c r="E436" s="1813"/>
    </row>
    <row r="437" spans="1:5" ht="18.75">
      <c r="A437" s="1498" t="s">
        <v>1339</v>
      </c>
      <c r="B437" s="1517" t="s">
        <v>1660</v>
      </c>
      <c r="C437" s="1815" t="s">
        <v>178</v>
      </c>
      <c r="E437" s="1813"/>
    </row>
    <row r="438" spans="1:5" ht="18.75">
      <c r="A438" s="1498" t="s">
        <v>1340</v>
      </c>
      <c r="B438" s="1518" t="s">
        <v>1661</v>
      </c>
      <c r="C438" s="1815" t="s">
        <v>178</v>
      </c>
      <c r="E438" s="1813"/>
    </row>
    <row r="439" spans="1:5" ht="19.5">
      <c r="A439" s="1498" t="s">
        <v>1341</v>
      </c>
      <c r="B439" s="1519" t="s">
        <v>1662</v>
      </c>
      <c r="C439" s="1815" t="s">
        <v>178</v>
      </c>
      <c r="E439" s="1813"/>
    </row>
    <row r="440" spans="1:5" ht="18.75">
      <c r="A440" s="1498" t="s">
        <v>1342</v>
      </c>
      <c r="B440" s="1518" t="s">
        <v>1663</v>
      </c>
      <c r="C440" s="1815" t="s">
        <v>178</v>
      </c>
      <c r="E440" s="1813"/>
    </row>
    <row r="441" spans="1:5" ht="18.75">
      <c r="A441" s="1498" t="s">
        <v>1343</v>
      </c>
      <c r="B441" s="1518" t="s">
        <v>1664</v>
      </c>
      <c r="C441" s="1815" t="s">
        <v>178</v>
      </c>
      <c r="E441" s="1813"/>
    </row>
    <row r="442" spans="1:5" ht="18.75">
      <c r="A442" s="1498" t="s">
        <v>1344</v>
      </c>
      <c r="B442" s="1520" t="s">
        <v>1665</v>
      </c>
      <c r="C442" s="1815" t="s">
        <v>178</v>
      </c>
      <c r="E442" s="1813"/>
    </row>
    <row r="443" spans="1:5" ht="18.75">
      <c r="A443" s="1498" t="s">
        <v>1345</v>
      </c>
      <c r="B443" s="1520" t="s">
        <v>1666</v>
      </c>
      <c r="C443" s="1815" t="s">
        <v>178</v>
      </c>
      <c r="E443" s="1813"/>
    </row>
    <row r="444" spans="1:5" ht="18.75">
      <c r="A444" s="1498" t="s">
        <v>1346</v>
      </c>
      <c r="B444" s="1520" t="s">
        <v>1667</v>
      </c>
      <c r="C444" s="1815" t="s">
        <v>178</v>
      </c>
      <c r="E444" s="1813"/>
    </row>
    <row r="445" spans="1:5" ht="18.75">
      <c r="A445" s="1498" t="s">
        <v>1347</v>
      </c>
      <c r="B445" s="1520" t="s">
        <v>1668</v>
      </c>
      <c r="C445" s="1815" t="s">
        <v>178</v>
      </c>
      <c r="E445" s="1813"/>
    </row>
    <row r="446" spans="1:5" ht="18.75">
      <c r="A446" s="1498" t="s">
        <v>1348</v>
      </c>
      <c r="B446" s="1520" t="s">
        <v>1669</v>
      </c>
      <c r="C446" s="1815" t="s">
        <v>178</v>
      </c>
      <c r="E446" s="1813"/>
    </row>
    <row r="447" spans="1:5" ht="18.75">
      <c r="A447" s="1498" t="s">
        <v>1349</v>
      </c>
      <c r="B447" s="1518" t="s">
        <v>1670</v>
      </c>
      <c r="C447" s="1815" t="s">
        <v>178</v>
      </c>
      <c r="E447" s="1813"/>
    </row>
    <row r="448" spans="1:5" ht="18.75">
      <c r="A448" s="1498" t="s">
        <v>1350</v>
      </c>
      <c r="B448" s="1518" t="s">
        <v>1671</v>
      </c>
      <c r="C448" s="1815" t="s">
        <v>178</v>
      </c>
      <c r="E448" s="1813"/>
    </row>
    <row r="449" spans="1:5" ht="18.75">
      <c r="A449" s="1498" t="s">
        <v>1351</v>
      </c>
      <c r="B449" s="1518" t="s">
        <v>1672</v>
      </c>
      <c r="C449" s="1815" t="s">
        <v>178</v>
      </c>
      <c r="E449" s="1813"/>
    </row>
    <row r="450" spans="1:5" ht="19.5" thickBot="1">
      <c r="A450" s="1498" t="s">
        <v>1352</v>
      </c>
      <c r="B450" s="1521" t="s">
        <v>1673</v>
      </c>
      <c r="C450" s="1815" t="s">
        <v>178</v>
      </c>
      <c r="E450" s="1813"/>
    </row>
    <row r="451" spans="1:5" ht="18.75">
      <c r="A451" s="1498" t="s">
        <v>1353</v>
      </c>
      <c r="B451" s="1517" t="s">
        <v>1674</v>
      </c>
      <c r="C451" s="1815" t="s">
        <v>178</v>
      </c>
      <c r="E451" s="1813"/>
    </row>
    <row r="452" spans="1:5" ht="19.5">
      <c r="A452" s="1498" t="s">
        <v>1354</v>
      </c>
      <c r="B452" s="1519" t="s">
        <v>1675</v>
      </c>
      <c r="C452" s="1815" t="s">
        <v>178</v>
      </c>
      <c r="E452" s="1813"/>
    </row>
    <row r="453" spans="1:5" ht="18.75">
      <c r="A453" s="1498" t="s">
        <v>1355</v>
      </c>
      <c r="B453" s="1518" t="s">
        <v>1676</v>
      </c>
      <c r="C453" s="1815" t="s">
        <v>178</v>
      </c>
      <c r="E453" s="1813"/>
    </row>
    <row r="454" spans="1:5" ht="18.75">
      <c r="A454" s="1498" t="s">
        <v>1356</v>
      </c>
      <c r="B454" s="1518" t="s">
        <v>1677</v>
      </c>
      <c r="C454" s="1815" t="s">
        <v>178</v>
      </c>
      <c r="E454" s="1813"/>
    </row>
    <row r="455" spans="1:5" ht="18.75">
      <c r="A455" s="1498" t="s">
        <v>1357</v>
      </c>
      <c r="B455" s="1518" t="s">
        <v>1678</v>
      </c>
      <c r="C455" s="1815" t="s">
        <v>178</v>
      </c>
      <c r="E455" s="1813"/>
    </row>
    <row r="456" spans="1:5" ht="18.75">
      <c r="A456" s="1498" t="s">
        <v>1358</v>
      </c>
      <c r="B456" s="1518" t="s">
        <v>1679</v>
      </c>
      <c r="C456" s="1815" t="s">
        <v>178</v>
      </c>
      <c r="E456" s="1813"/>
    </row>
    <row r="457" spans="1:5" ht="18.75">
      <c r="A457" s="1498" t="s">
        <v>1359</v>
      </c>
      <c r="B457" s="1518" t="s">
        <v>1680</v>
      </c>
      <c r="C457" s="1815" t="s">
        <v>178</v>
      </c>
      <c r="E457" s="1813"/>
    </row>
    <row r="458" spans="1:5" ht="18.75">
      <c r="A458" s="1498" t="s">
        <v>1360</v>
      </c>
      <c r="B458" s="1518" t="s">
        <v>1681</v>
      </c>
      <c r="C458" s="1815" t="s">
        <v>178</v>
      </c>
      <c r="E458" s="1813"/>
    </row>
    <row r="459" spans="1:5" ht="18.75">
      <c r="A459" s="1498" t="s">
        <v>1361</v>
      </c>
      <c r="B459" s="1518" t="s">
        <v>1682</v>
      </c>
      <c r="C459" s="1815" t="s">
        <v>178</v>
      </c>
      <c r="E459" s="1813"/>
    </row>
    <row r="460" spans="1:5" ht="18.75">
      <c r="A460" s="1498" t="s">
        <v>1362</v>
      </c>
      <c r="B460" s="1518" t="s">
        <v>1683</v>
      </c>
      <c r="C460" s="1815" t="s">
        <v>178</v>
      </c>
      <c r="E460" s="1813"/>
    </row>
    <row r="461" spans="1:5" ht="18.75">
      <c r="A461" s="1498" t="s">
        <v>1363</v>
      </c>
      <c r="B461" s="1518" t="s">
        <v>1684</v>
      </c>
      <c r="C461" s="1815" t="s">
        <v>178</v>
      </c>
      <c r="E461" s="1813"/>
    </row>
    <row r="462" spans="1:5" ht="18.75">
      <c r="A462" s="1498" t="s">
        <v>1364</v>
      </c>
      <c r="B462" s="1518" t="s">
        <v>1685</v>
      </c>
      <c r="C462" s="1815" t="s">
        <v>178</v>
      </c>
      <c r="E462" s="1813"/>
    </row>
    <row r="463" spans="1:5" ht="19.5" thickBot="1">
      <c r="A463" s="1498" t="s">
        <v>1365</v>
      </c>
      <c r="B463" s="1521" t="s">
        <v>1686</v>
      </c>
      <c r="C463" s="1815" t="s">
        <v>178</v>
      </c>
      <c r="E463" s="1813"/>
    </row>
    <row r="464" spans="1:5" ht="18.75">
      <c r="A464" s="1498" t="s">
        <v>1366</v>
      </c>
      <c r="B464" s="1517" t="s">
        <v>1687</v>
      </c>
      <c r="C464" s="1815" t="s">
        <v>178</v>
      </c>
      <c r="E464" s="1813"/>
    </row>
    <row r="465" spans="1:5" ht="18.75">
      <c r="A465" s="1498" t="s">
        <v>1367</v>
      </c>
      <c r="B465" s="1518" t="s">
        <v>1688</v>
      </c>
      <c r="C465" s="1815" t="s">
        <v>178</v>
      </c>
      <c r="E465" s="1813"/>
    </row>
    <row r="466" spans="1:5" ht="18.75">
      <c r="A466" s="1498" t="s">
        <v>1368</v>
      </c>
      <c r="B466" s="1518" t="s">
        <v>1689</v>
      </c>
      <c r="C466" s="1815" t="s">
        <v>178</v>
      </c>
      <c r="E466" s="1813"/>
    </row>
    <row r="467" spans="1:5" ht="18.75">
      <c r="A467" s="1498" t="s">
        <v>1369</v>
      </c>
      <c r="B467" s="1518" t="s">
        <v>1690</v>
      </c>
      <c r="C467" s="1815" t="s">
        <v>178</v>
      </c>
      <c r="E467" s="1813"/>
    </row>
    <row r="468" spans="1:5" ht="19.5">
      <c r="A468" s="1498" t="s">
        <v>1370</v>
      </c>
      <c r="B468" s="1519" t="s">
        <v>1691</v>
      </c>
      <c r="C468" s="1815" t="s">
        <v>178</v>
      </c>
      <c r="E468" s="1813"/>
    </row>
    <row r="469" spans="1:5" ht="18.75">
      <c r="A469" s="1498" t="s">
        <v>1371</v>
      </c>
      <c r="B469" s="1518" t="s">
        <v>1692</v>
      </c>
      <c r="C469" s="1815" t="s">
        <v>178</v>
      </c>
      <c r="E469" s="1813"/>
    </row>
    <row r="470" spans="1:5" ht="18.75">
      <c r="A470" s="1498" t="s">
        <v>1372</v>
      </c>
      <c r="B470" s="1518" t="s">
        <v>1693</v>
      </c>
      <c r="C470" s="1815" t="s">
        <v>178</v>
      </c>
      <c r="E470" s="1813"/>
    </row>
    <row r="471" spans="1:5" ht="18.75">
      <c r="A471" s="1498" t="s">
        <v>1373</v>
      </c>
      <c r="B471" s="1518" t="s">
        <v>1694</v>
      </c>
      <c r="C471" s="1815" t="s">
        <v>178</v>
      </c>
      <c r="E471" s="1813"/>
    </row>
    <row r="472" spans="1:5" ht="18.75">
      <c r="A472" s="1498" t="s">
        <v>1374</v>
      </c>
      <c r="B472" s="1518" t="s">
        <v>1695</v>
      </c>
      <c r="C472" s="1815" t="s">
        <v>178</v>
      </c>
      <c r="E472" s="1813"/>
    </row>
    <row r="473" spans="1:5" ht="18.75">
      <c r="A473" s="1498" t="s">
        <v>1375</v>
      </c>
      <c r="B473" s="1518" t="s">
        <v>1696</v>
      </c>
      <c r="C473" s="1815" t="s">
        <v>178</v>
      </c>
      <c r="E473" s="1813"/>
    </row>
    <row r="474" spans="1:5" ht="18.75">
      <c r="A474" s="1498" t="s">
        <v>1376</v>
      </c>
      <c r="B474" s="1518" t="s">
        <v>1697</v>
      </c>
      <c r="C474" s="1815" t="s">
        <v>178</v>
      </c>
      <c r="E474" s="1813"/>
    </row>
    <row r="475" spans="1:5" ht="19.5" thickBot="1">
      <c r="A475" s="1498" t="s">
        <v>1377</v>
      </c>
      <c r="B475" s="1521" t="s">
        <v>1698</v>
      </c>
      <c r="C475" s="1815" t="s">
        <v>178</v>
      </c>
      <c r="E475" s="1813"/>
    </row>
    <row r="476" spans="1:5" ht="19.5">
      <c r="A476" s="1498" t="s">
        <v>1378</v>
      </c>
      <c r="B476" s="1522" t="s">
        <v>1699</v>
      </c>
      <c r="C476" s="1815" t="s">
        <v>178</v>
      </c>
      <c r="E476" s="1813"/>
    </row>
    <row r="477" spans="1:5" ht="18.75">
      <c r="A477" s="1498" t="s">
        <v>1379</v>
      </c>
      <c r="B477" s="1518" t="s">
        <v>1700</v>
      </c>
      <c r="C477" s="1815" t="s">
        <v>178</v>
      </c>
      <c r="E477" s="1813"/>
    </row>
    <row r="478" spans="1:5" ht="18.75">
      <c r="A478" s="1498" t="s">
        <v>1380</v>
      </c>
      <c r="B478" s="1518" t="s">
        <v>1701</v>
      </c>
      <c r="C478" s="1815" t="s">
        <v>178</v>
      </c>
      <c r="E478" s="1813"/>
    </row>
    <row r="479" spans="1:5" ht="18.75">
      <c r="A479" s="1498" t="s">
        <v>1381</v>
      </c>
      <c r="B479" s="1518" t="s">
        <v>1702</v>
      </c>
      <c r="C479" s="1815" t="s">
        <v>178</v>
      </c>
      <c r="E479" s="1813"/>
    </row>
    <row r="480" spans="1:5" ht="18.75">
      <c r="A480" s="1498" t="s">
        <v>1382</v>
      </c>
      <c r="B480" s="1518" t="s">
        <v>1703</v>
      </c>
      <c r="C480" s="1815" t="s">
        <v>178</v>
      </c>
      <c r="E480" s="1813"/>
    </row>
    <row r="481" spans="1:5" ht="18.75">
      <c r="A481" s="1498" t="s">
        <v>1383</v>
      </c>
      <c r="B481" s="1518" t="s">
        <v>1704</v>
      </c>
      <c r="C481" s="1815" t="s">
        <v>178</v>
      </c>
      <c r="E481" s="1813"/>
    </row>
    <row r="482" spans="1:5" ht="18.75">
      <c r="A482" s="1498" t="s">
        <v>1384</v>
      </c>
      <c r="B482" s="1518" t="s">
        <v>1705</v>
      </c>
      <c r="C482" s="1815" t="s">
        <v>178</v>
      </c>
      <c r="E482" s="1813"/>
    </row>
    <row r="483" spans="1:5" ht="18.75">
      <c r="A483" s="1498" t="s">
        <v>1385</v>
      </c>
      <c r="B483" s="1518" t="s">
        <v>1706</v>
      </c>
      <c r="C483" s="1815" t="s">
        <v>178</v>
      </c>
      <c r="E483" s="1813"/>
    </row>
    <row r="484" spans="1:5" ht="18.75">
      <c r="A484" s="1498" t="s">
        <v>1386</v>
      </c>
      <c r="B484" s="1518" t="s">
        <v>1707</v>
      </c>
      <c r="C484" s="1815" t="s">
        <v>178</v>
      </c>
      <c r="E484" s="1813"/>
    </row>
    <row r="485" spans="1:5" ht="19.5" thickBot="1">
      <c r="A485" s="1498" t="s">
        <v>1387</v>
      </c>
      <c r="B485" s="1521" t="s">
        <v>1708</v>
      </c>
      <c r="C485" s="1815" t="s">
        <v>178</v>
      </c>
      <c r="E485" s="1813"/>
    </row>
    <row r="486" spans="1:5" ht="18.75">
      <c r="A486" s="1498" t="s">
        <v>1388</v>
      </c>
      <c r="B486" s="1517" t="s">
        <v>1709</v>
      </c>
      <c r="C486" s="1815" t="s">
        <v>178</v>
      </c>
      <c r="E486" s="1813"/>
    </row>
    <row r="487" spans="1:5" ht="18.75">
      <c r="A487" s="1498" t="s">
        <v>1389</v>
      </c>
      <c r="B487" s="1518" t="s">
        <v>1710</v>
      </c>
      <c r="C487" s="1815" t="s">
        <v>178</v>
      </c>
      <c r="E487" s="1813"/>
    </row>
    <row r="488" spans="1:5" ht="18.75">
      <c r="A488" s="1498" t="s">
        <v>1390</v>
      </c>
      <c r="B488" s="1518" t="s">
        <v>1711</v>
      </c>
      <c r="C488" s="1815" t="s">
        <v>178</v>
      </c>
      <c r="E488" s="1813"/>
    </row>
    <row r="489" spans="1:5" ht="19.5">
      <c r="A489" s="1498" t="s">
        <v>1391</v>
      </c>
      <c r="B489" s="1519" t="s">
        <v>1712</v>
      </c>
      <c r="C489" s="1815" t="s">
        <v>178</v>
      </c>
      <c r="E489" s="1813"/>
    </row>
    <row r="490" spans="1:5" ht="18.75">
      <c r="A490" s="1498" t="s">
        <v>1392</v>
      </c>
      <c r="B490" s="1518" t="s">
        <v>1713</v>
      </c>
      <c r="C490" s="1815" t="s">
        <v>178</v>
      </c>
      <c r="E490" s="1813"/>
    </row>
    <row r="491" spans="1:5" ht="18.75">
      <c r="A491" s="1498" t="s">
        <v>1393</v>
      </c>
      <c r="B491" s="1518" t="s">
        <v>1714</v>
      </c>
      <c r="C491" s="1815" t="s">
        <v>178</v>
      </c>
      <c r="E491" s="1813"/>
    </row>
    <row r="492" spans="1:5" ht="18.75">
      <c r="A492" s="1498" t="s">
        <v>1394</v>
      </c>
      <c r="B492" s="1518" t="s">
        <v>1715</v>
      </c>
      <c r="C492" s="1815" t="s">
        <v>178</v>
      </c>
      <c r="E492" s="1813"/>
    </row>
    <row r="493" spans="1:5" ht="18.75">
      <c r="A493" s="1498" t="s">
        <v>1395</v>
      </c>
      <c r="B493" s="1518" t="s">
        <v>1716</v>
      </c>
      <c r="C493" s="1815" t="s">
        <v>178</v>
      </c>
      <c r="E493" s="1813"/>
    </row>
    <row r="494" spans="1:5" ht="18.75">
      <c r="A494" s="1498" t="s">
        <v>1396</v>
      </c>
      <c r="B494" s="1518" t="s">
        <v>1717</v>
      </c>
      <c r="C494" s="1815" t="s">
        <v>178</v>
      </c>
      <c r="E494" s="1813"/>
    </row>
    <row r="495" spans="1:5" ht="18.75">
      <c r="A495" s="1498" t="s">
        <v>1397</v>
      </c>
      <c r="B495" s="1518" t="s">
        <v>1718</v>
      </c>
      <c r="C495" s="1815" t="s">
        <v>178</v>
      </c>
      <c r="E495" s="1813"/>
    </row>
    <row r="496" spans="1:5" ht="19.5" thickBot="1">
      <c r="A496" s="1498" t="s">
        <v>1398</v>
      </c>
      <c r="B496" s="1521" t="s">
        <v>1719</v>
      </c>
      <c r="C496" s="1815" t="s">
        <v>178</v>
      </c>
      <c r="E496" s="1813"/>
    </row>
    <row r="497" spans="1:5" ht="18.75">
      <c r="A497" s="1498" t="s">
        <v>1399</v>
      </c>
      <c r="B497" s="1517" t="s">
        <v>1720</v>
      </c>
      <c r="C497" s="1815" t="s">
        <v>178</v>
      </c>
      <c r="E497" s="1813"/>
    </row>
    <row r="498" spans="1:5" ht="18.75">
      <c r="A498" s="1498" t="s">
        <v>1400</v>
      </c>
      <c r="B498" s="1518" t="s">
        <v>1721</v>
      </c>
      <c r="C498" s="1815" t="s">
        <v>178</v>
      </c>
      <c r="E498" s="1813"/>
    </row>
    <row r="499" spans="1:5" ht="19.5">
      <c r="A499" s="1498" t="s">
        <v>1401</v>
      </c>
      <c r="B499" s="1519" t="s">
        <v>1722</v>
      </c>
      <c r="C499" s="1815" t="s">
        <v>178</v>
      </c>
      <c r="E499" s="1813"/>
    </row>
    <row r="500" spans="1:5" ht="18.75">
      <c r="A500" s="1498" t="s">
        <v>1402</v>
      </c>
      <c r="B500" s="1518" t="s">
        <v>1723</v>
      </c>
      <c r="C500" s="1815" t="s">
        <v>178</v>
      </c>
      <c r="E500" s="1813"/>
    </row>
    <row r="501" spans="1:5" ht="18.75">
      <c r="A501" s="1498" t="s">
        <v>1403</v>
      </c>
      <c r="B501" s="1518" t="s">
        <v>1724</v>
      </c>
      <c r="C501" s="1815" t="s">
        <v>178</v>
      </c>
      <c r="E501" s="1813"/>
    </row>
    <row r="502" spans="1:5" ht="18.75">
      <c r="A502" s="1498" t="s">
        <v>1404</v>
      </c>
      <c r="B502" s="1518" t="s">
        <v>1725</v>
      </c>
      <c r="C502" s="1815" t="s">
        <v>178</v>
      </c>
      <c r="E502" s="1813"/>
    </row>
    <row r="503" spans="1:5" ht="18.75">
      <c r="A503" s="1498" t="s">
        <v>1405</v>
      </c>
      <c r="B503" s="1518" t="s">
        <v>1726</v>
      </c>
      <c r="C503" s="1815" t="s">
        <v>178</v>
      </c>
      <c r="E503" s="1813"/>
    </row>
    <row r="504" spans="1:5" ht="18.75">
      <c r="A504" s="1498" t="s">
        <v>1406</v>
      </c>
      <c r="B504" s="1518" t="s">
        <v>1727</v>
      </c>
      <c r="C504" s="1815" t="s">
        <v>178</v>
      </c>
      <c r="E504" s="1813"/>
    </row>
    <row r="505" spans="1:5" ht="18.75">
      <c r="A505" s="1498" t="s">
        <v>1407</v>
      </c>
      <c r="B505" s="1518" t="s">
        <v>1728</v>
      </c>
      <c r="C505" s="1815" t="s">
        <v>178</v>
      </c>
      <c r="E505" s="1813"/>
    </row>
    <row r="506" spans="1:5" ht="19.5" thickBot="1">
      <c r="A506" s="1498" t="s">
        <v>1408</v>
      </c>
      <c r="B506" s="1521" t="s">
        <v>1729</v>
      </c>
      <c r="C506" s="1815" t="s">
        <v>178</v>
      </c>
      <c r="E506" s="1813"/>
    </row>
    <row r="507" spans="1:5" ht="19.5">
      <c r="A507" s="1498" t="s">
        <v>1409</v>
      </c>
      <c r="B507" s="1522" t="s">
        <v>1730</v>
      </c>
      <c r="C507" s="1815" t="s">
        <v>178</v>
      </c>
      <c r="E507" s="1813"/>
    </row>
    <row r="508" spans="1:5" ht="18.75">
      <c r="A508" s="1498" t="s">
        <v>1410</v>
      </c>
      <c r="B508" s="1518" t="s">
        <v>1731</v>
      </c>
      <c r="C508" s="1815" t="s">
        <v>178</v>
      </c>
      <c r="E508" s="1813"/>
    </row>
    <row r="509" spans="1:5" ht="18.75">
      <c r="A509" s="1498" t="s">
        <v>1411</v>
      </c>
      <c r="B509" s="1518" t="s">
        <v>1732</v>
      </c>
      <c r="C509" s="1815" t="s">
        <v>178</v>
      </c>
      <c r="E509" s="1813"/>
    </row>
    <row r="510" spans="1:5" ht="19.5" thickBot="1">
      <c r="A510" s="1498" t="s">
        <v>1412</v>
      </c>
      <c r="B510" s="1521" t="s">
        <v>1733</v>
      </c>
      <c r="C510" s="1815" t="s">
        <v>178</v>
      </c>
      <c r="E510" s="1813"/>
    </row>
    <row r="511" spans="1:5" ht="18.75">
      <c r="A511" s="1498" t="s">
        <v>1413</v>
      </c>
      <c r="B511" s="1517" t="s">
        <v>1734</v>
      </c>
      <c r="C511" s="1815" t="s">
        <v>178</v>
      </c>
      <c r="E511" s="1813"/>
    </row>
    <row r="512" spans="1:5" ht="18.75">
      <c r="A512" s="1498" t="s">
        <v>1414</v>
      </c>
      <c r="B512" s="1518" t="s">
        <v>1735</v>
      </c>
      <c r="C512" s="1815" t="s">
        <v>178</v>
      </c>
      <c r="E512" s="1813"/>
    </row>
    <row r="513" spans="1:5" ht="19.5">
      <c r="A513" s="1498" t="s">
        <v>1415</v>
      </c>
      <c r="B513" s="1519" t="s">
        <v>1736</v>
      </c>
      <c r="C513" s="1815" t="s">
        <v>178</v>
      </c>
      <c r="E513" s="1813"/>
    </row>
    <row r="514" spans="1:5" ht="18.75">
      <c r="A514" s="1498" t="s">
        <v>1416</v>
      </c>
      <c r="B514" s="1518" t="s">
        <v>1737</v>
      </c>
      <c r="C514" s="1815" t="s">
        <v>178</v>
      </c>
      <c r="E514" s="1813"/>
    </row>
    <row r="515" spans="1:5" ht="18.75">
      <c r="A515" s="1498" t="s">
        <v>1417</v>
      </c>
      <c r="B515" s="1518" t="s">
        <v>1738</v>
      </c>
      <c r="C515" s="1815" t="s">
        <v>178</v>
      </c>
      <c r="E515" s="1813"/>
    </row>
    <row r="516" spans="1:5" ht="18.75">
      <c r="A516" s="1498" t="s">
        <v>1418</v>
      </c>
      <c r="B516" s="1518" t="s">
        <v>1739</v>
      </c>
      <c r="C516" s="1815" t="s">
        <v>178</v>
      </c>
      <c r="E516" s="1813"/>
    </row>
    <row r="517" spans="1:5" ht="18.75">
      <c r="A517" s="1498" t="s">
        <v>1419</v>
      </c>
      <c r="B517" s="1518" t="s">
        <v>1740</v>
      </c>
      <c r="C517" s="1815" t="s">
        <v>178</v>
      </c>
      <c r="E517" s="1813"/>
    </row>
    <row r="518" spans="1:5" ht="19.5" thickBot="1">
      <c r="A518" s="1498" t="s">
        <v>1420</v>
      </c>
      <c r="B518" s="1521" t="s">
        <v>1741</v>
      </c>
      <c r="C518" s="1815" t="s">
        <v>178</v>
      </c>
      <c r="E518" s="1813"/>
    </row>
    <row r="519" spans="1:5" ht="18.75">
      <c r="A519" s="1498" t="s">
        <v>1421</v>
      </c>
      <c r="B519" s="1517" t="s">
        <v>1742</v>
      </c>
      <c r="C519" s="1815" t="s">
        <v>178</v>
      </c>
      <c r="E519" s="1813"/>
    </row>
    <row r="520" spans="1:5" ht="18.75">
      <c r="A520" s="1498" t="s">
        <v>1422</v>
      </c>
      <c r="B520" s="1518" t="s">
        <v>1743</v>
      </c>
      <c r="C520" s="1815" t="s">
        <v>178</v>
      </c>
      <c r="E520" s="1813"/>
    </row>
    <row r="521" spans="1:5" ht="18.75">
      <c r="A521" s="1498" t="s">
        <v>1423</v>
      </c>
      <c r="B521" s="1518" t="s">
        <v>1744</v>
      </c>
      <c r="C521" s="1815" t="s">
        <v>178</v>
      </c>
      <c r="E521" s="1813"/>
    </row>
    <row r="522" spans="1:5" ht="18.75">
      <c r="A522" s="1498" t="s">
        <v>1424</v>
      </c>
      <c r="B522" s="1518" t="s">
        <v>1745</v>
      </c>
      <c r="C522" s="1815" t="s">
        <v>178</v>
      </c>
      <c r="E522" s="1813"/>
    </row>
    <row r="523" spans="1:5" ht="19.5">
      <c r="A523" s="1498" t="s">
        <v>1425</v>
      </c>
      <c r="B523" s="1519" t="s">
        <v>1746</v>
      </c>
      <c r="C523" s="1815" t="s">
        <v>178</v>
      </c>
      <c r="E523" s="1813"/>
    </row>
    <row r="524" spans="1:5" ht="18.75">
      <c r="A524" s="1498" t="s">
        <v>1426</v>
      </c>
      <c r="B524" s="1518" t="s">
        <v>1747</v>
      </c>
      <c r="C524" s="1815" t="s">
        <v>178</v>
      </c>
      <c r="E524" s="1813"/>
    </row>
    <row r="525" spans="1:5" ht="19.5" thickBot="1">
      <c r="A525" s="1498" t="s">
        <v>1427</v>
      </c>
      <c r="B525" s="1521" t="s">
        <v>1748</v>
      </c>
      <c r="C525" s="1815" t="s">
        <v>178</v>
      </c>
      <c r="E525" s="1813"/>
    </row>
    <row r="526" spans="1:5" ht="18.75">
      <c r="A526" s="1498" t="s">
        <v>1428</v>
      </c>
      <c r="B526" s="1517" t="s">
        <v>1749</v>
      </c>
      <c r="C526" s="1815" t="s">
        <v>178</v>
      </c>
      <c r="E526" s="1813"/>
    </row>
    <row r="527" spans="1:5" ht="18.75">
      <c r="A527" s="1498" t="s">
        <v>1429</v>
      </c>
      <c r="B527" s="1518" t="s">
        <v>1750</v>
      </c>
      <c r="C527" s="1815" t="s">
        <v>178</v>
      </c>
      <c r="E527" s="1813"/>
    </row>
    <row r="528" spans="1:5" ht="18.75">
      <c r="A528" s="1498" t="s">
        <v>1430</v>
      </c>
      <c r="B528" s="1518" t="s">
        <v>1751</v>
      </c>
      <c r="C528" s="1815" t="s">
        <v>178</v>
      </c>
      <c r="E528" s="1813"/>
    </row>
    <row r="529" spans="1:5" ht="18.75">
      <c r="A529" s="1498" t="s">
        <v>1431</v>
      </c>
      <c r="B529" s="1518" t="s">
        <v>1752</v>
      </c>
      <c r="C529" s="1815" t="s">
        <v>178</v>
      </c>
      <c r="E529" s="1813"/>
    </row>
    <row r="530" spans="1:5" ht="19.5">
      <c r="A530" s="1498" t="s">
        <v>1432</v>
      </c>
      <c r="B530" s="1519" t="s">
        <v>1753</v>
      </c>
      <c r="C530" s="1815" t="s">
        <v>178</v>
      </c>
      <c r="E530" s="1813"/>
    </row>
    <row r="531" spans="1:5" ht="18.75">
      <c r="A531" s="1498" t="s">
        <v>1433</v>
      </c>
      <c r="B531" s="1518" t="s">
        <v>1754</v>
      </c>
      <c r="C531" s="1815" t="s">
        <v>178</v>
      </c>
      <c r="E531" s="1813"/>
    </row>
    <row r="532" spans="1:5" ht="18.75">
      <c r="A532" s="1498" t="s">
        <v>1434</v>
      </c>
      <c r="B532" s="1518" t="s">
        <v>1755</v>
      </c>
      <c r="C532" s="1815" t="s">
        <v>178</v>
      </c>
      <c r="E532" s="1813"/>
    </row>
    <row r="533" spans="1:5" ht="18.75">
      <c r="A533" s="1498" t="s">
        <v>1435</v>
      </c>
      <c r="B533" s="1518" t="s">
        <v>1756</v>
      </c>
      <c r="C533" s="1815" t="s">
        <v>178</v>
      </c>
      <c r="E533" s="1813"/>
    </row>
    <row r="534" spans="1:5" ht="19.5" thickBot="1">
      <c r="A534" s="1498" t="s">
        <v>1436</v>
      </c>
      <c r="B534" s="1521" t="s">
        <v>1757</v>
      </c>
      <c r="C534" s="1815" t="s">
        <v>178</v>
      </c>
      <c r="E534" s="1813"/>
    </row>
    <row r="535" spans="1:5" ht="18.75">
      <c r="A535" s="1498" t="s">
        <v>1437</v>
      </c>
      <c r="B535" s="1517" t="s">
        <v>1758</v>
      </c>
      <c r="C535" s="1815" t="s">
        <v>178</v>
      </c>
      <c r="E535" s="1813"/>
    </row>
    <row r="536" spans="1:5" ht="18.75">
      <c r="A536" s="1498" t="s">
        <v>1438</v>
      </c>
      <c r="B536" s="1518" t="s">
        <v>1759</v>
      </c>
      <c r="C536" s="1815" t="s">
        <v>178</v>
      </c>
      <c r="E536" s="1813"/>
    </row>
    <row r="537" spans="1:5" ht="19.5">
      <c r="A537" s="1498" t="s">
        <v>1439</v>
      </c>
      <c r="B537" s="1519" t="s">
        <v>1760</v>
      </c>
      <c r="C537" s="1815" t="s">
        <v>178</v>
      </c>
      <c r="E537" s="1813"/>
    </row>
    <row r="538" spans="1:5" ht="18.75">
      <c r="A538" s="1498" t="s">
        <v>1440</v>
      </c>
      <c r="B538" s="1518" t="s">
        <v>1761</v>
      </c>
      <c r="C538" s="1815" t="s">
        <v>178</v>
      </c>
      <c r="E538" s="1813"/>
    </row>
    <row r="539" spans="1:5" ht="18.75">
      <c r="A539" s="1498" t="s">
        <v>1441</v>
      </c>
      <c r="B539" s="1518" t="s">
        <v>1762</v>
      </c>
      <c r="C539" s="1815" t="s">
        <v>178</v>
      </c>
      <c r="E539" s="1813"/>
    </row>
    <row r="540" spans="1:5" ht="18.75">
      <c r="A540" s="1498" t="s">
        <v>1442</v>
      </c>
      <c r="B540" s="1518" t="s">
        <v>1763</v>
      </c>
      <c r="C540" s="1815" t="s">
        <v>178</v>
      </c>
      <c r="E540" s="1813"/>
    </row>
    <row r="541" spans="1:5" ht="18.75">
      <c r="A541" s="1498" t="s">
        <v>1443</v>
      </c>
      <c r="B541" s="1518" t="s">
        <v>1764</v>
      </c>
      <c r="C541" s="1815" t="s">
        <v>178</v>
      </c>
      <c r="E541" s="1813"/>
    </row>
    <row r="542" spans="1:5" ht="19.5" thickBot="1">
      <c r="A542" s="1498" t="s">
        <v>1444</v>
      </c>
      <c r="B542" s="1521" t="s">
        <v>1765</v>
      </c>
      <c r="C542" s="1815" t="s">
        <v>178</v>
      </c>
      <c r="E542" s="1813"/>
    </row>
    <row r="543" spans="1:5" ht="18.75">
      <c r="A543" s="1498" t="s">
        <v>1445</v>
      </c>
      <c r="B543" s="1517" t="s">
        <v>1766</v>
      </c>
      <c r="C543" s="1815" t="s">
        <v>178</v>
      </c>
      <c r="E543" s="1813"/>
    </row>
    <row r="544" spans="1:5" ht="18.75">
      <c r="A544" s="1498" t="s">
        <v>1446</v>
      </c>
      <c r="B544" s="1518" t="s">
        <v>1767</v>
      </c>
      <c r="C544" s="1815" t="s">
        <v>178</v>
      </c>
      <c r="E544" s="1813"/>
    </row>
    <row r="545" spans="1:5" ht="18.75">
      <c r="A545" s="1498" t="s">
        <v>1447</v>
      </c>
      <c r="B545" s="1518" t="s">
        <v>1768</v>
      </c>
      <c r="C545" s="1815" t="s">
        <v>178</v>
      </c>
      <c r="E545" s="1813"/>
    </row>
    <row r="546" spans="1:5" ht="18.75">
      <c r="A546" s="1498" t="s">
        <v>1448</v>
      </c>
      <c r="B546" s="1518" t="s">
        <v>1769</v>
      </c>
      <c r="C546" s="1815" t="s">
        <v>178</v>
      </c>
      <c r="E546" s="1813"/>
    </row>
    <row r="547" spans="1:5" ht="18.75">
      <c r="A547" s="1498" t="s">
        <v>1449</v>
      </c>
      <c r="B547" s="1518" t="s">
        <v>1770</v>
      </c>
      <c r="C547" s="1815" t="s">
        <v>178</v>
      </c>
      <c r="E547" s="1813"/>
    </row>
    <row r="548" spans="1:5" ht="18.75">
      <c r="A548" s="1498" t="s">
        <v>1450</v>
      </c>
      <c r="B548" s="1518" t="s">
        <v>1771</v>
      </c>
      <c r="C548" s="1815" t="s">
        <v>178</v>
      </c>
      <c r="E548" s="1813"/>
    </row>
    <row r="549" spans="1:5" ht="18.75">
      <c r="A549" s="1498" t="s">
        <v>1451</v>
      </c>
      <c r="B549" s="1518" t="s">
        <v>1772</v>
      </c>
      <c r="C549" s="1815" t="s">
        <v>178</v>
      </c>
      <c r="E549" s="1813"/>
    </row>
    <row r="550" spans="1:5" ht="18.75">
      <c r="A550" s="1498" t="s">
        <v>1452</v>
      </c>
      <c r="B550" s="1518" t="s">
        <v>1773</v>
      </c>
      <c r="C550" s="1815" t="s">
        <v>178</v>
      </c>
      <c r="E550" s="1813"/>
    </row>
    <row r="551" spans="1:5" ht="19.5">
      <c r="A551" s="1498" t="s">
        <v>1453</v>
      </c>
      <c r="B551" s="1519" t="s">
        <v>1774</v>
      </c>
      <c r="C551" s="1815" t="s">
        <v>178</v>
      </c>
      <c r="E551" s="1813"/>
    </row>
    <row r="552" spans="1:5" ht="18.75">
      <c r="A552" s="1498" t="s">
        <v>1454</v>
      </c>
      <c r="B552" s="1518" t="s">
        <v>1775</v>
      </c>
      <c r="C552" s="1815" t="s">
        <v>178</v>
      </c>
      <c r="E552" s="1813"/>
    </row>
    <row r="553" spans="1:5" ht="19.5" thickBot="1">
      <c r="A553" s="1498" t="s">
        <v>1455</v>
      </c>
      <c r="B553" s="1521" t="s">
        <v>1776</v>
      </c>
      <c r="C553" s="1815" t="s">
        <v>178</v>
      </c>
      <c r="E553" s="1813"/>
    </row>
    <row r="554" spans="1:5" ht="18.75">
      <c r="A554" s="1498" t="s">
        <v>1456</v>
      </c>
      <c r="B554" s="1517" t="s">
        <v>1777</v>
      </c>
      <c r="C554" s="1815" t="s">
        <v>178</v>
      </c>
      <c r="E554" s="1813"/>
    </row>
    <row r="555" spans="1:5" ht="18.75">
      <c r="A555" s="1498" t="s">
        <v>1457</v>
      </c>
      <c r="B555" s="1518" t="s">
        <v>1778</v>
      </c>
      <c r="C555" s="1815" t="s">
        <v>178</v>
      </c>
      <c r="E555" s="1813"/>
    </row>
    <row r="556" spans="1:5" ht="18.75">
      <c r="A556" s="1498" t="s">
        <v>1458</v>
      </c>
      <c r="B556" s="1518" t="s">
        <v>1779</v>
      </c>
      <c r="C556" s="1815" t="s">
        <v>178</v>
      </c>
      <c r="E556" s="1813"/>
    </row>
    <row r="557" spans="1:5" ht="18.75">
      <c r="A557" s="1498" t="s">
        <v>1459</v>
      </c>
      <c r="B557" s="1518" t="s">
        <v>1780</v>
      </c>
      <c r="C557" s="1815" t="s">
        <v>178</v>
      </c>
      <c r="E557" s="1813"/>
    </row>
    <row r="558" spans="1:5" ht="18.75">
      <c r="A558" s="1498" t="s">
        <v>1460</v>
      </c>
      <c r="B558" s="1518" t="s">
        <v>1781</v>
      </c>
      <c r="C558" s="1815" t="s">
        <v>178</v>
      </c>
      <c r="E558" s="1813"/>
    </row>
    <row r="559" spans="1:5" ht="19.5">
      <c r="A559" s="1498" t="s">
        <v>1461</v>
      </c>
      <c r="B559" s="1519" t="s">
        <v>1782</v>
      </c>
      <c r="C559" s="1815" t="s">
        <v>178</v>
      </c>
      <c r="E559" s="1813"/>
    </row>
    <row r="560" spans="1:5" ht="18.75">
      <c r="A560" s="1498" t="s">
        <v>1462</v>
      </c>
      <c r="B560" s="1518" t="s">
        <v>1783</v>
      </c>
      <c r="C560" s="1815" t="s">
        <v>178</v>
      </c>
      <c r="E560" s="1813"/>
    </row>
    <row r="561" spans="1:5" ht="18.75">
      <c r="A561" s="1498" t="s">
        <v>1463</v>
      </c>
      <c r="B561" s="1518" t="s">
        <v>1784</v>
      </c>
      <c r="C561" s="1815" t="s">
        <v>178</v>
      </c>
      <c r="E561" s="1813"/>
    </row>
    <row r="562" spans="1:5" ht="18.75">
      <c r="A562" s="1498" t="s">
        <v>1464</v>
      </c>
      <c r="B562" s="1518" t="s">
        <v>1785</v>
      </c>
      <c r="C562" s="1815" t="s">
        <v>178</v>
      </c>
      <c r="E562" s="1813"/>
    </row>
    <row r="563" spans="1:5" ht="18.75">
      <c r="A563" s="1498" t="s">
        <v>1465</v>
      </c>
      <c r="B563" s="1518" t="s">
        <v>1786</v>
      </c>
      <c r="C563" s="1815" t="s">
        <v>178</v>
      </c>
      <c r="E563" s="1813"/>
    </row>
    <row r="564" spans="1:5" ht="18.75">
      <c r="A564" s="1498" t="s">
        <v>1466</v>
      </c>
      <c r="B564" s="1523" t="s">
        <v>1787</v>
      </c>
      <c r="C564" s="1815" t="s">
        <v>178</v>
      </c>
      <c r="E564" s="1813"/>
    </row>
    <row r="565" spans="1:5" ht="19.5" thickBot="1">
      <c r="A565" s="1498" t="s">
        <v>1467</v>
      </c>
      <c r="B565" s="1521" t="s">
        <v>1788</v>
      </c>
      <c r="C565" s="1815" t="s">
        <v>178</v>
      </c>
      <c r="E565" s="1813"/>
    </row>
    <row r="566" spans="1:5" ht="18.75">
      <c r="A566" s="1498" t="s">
        <v>1468</v>
      </c>
      <c r="B566" s="1517" t="s">
        <v>1789</v>
      </c>
      <c r="C566" s="1815" t="s">
        <v>178</v>
      </c>
      <c r="E566" s="1813"/>
    </row>
    <row r="567" spans="1:5" ht="18.75">
      <c r="A567" s="1498" t="s">
        <v>1469</v>
      </c>
      <c r="B567" s="1518" t="s">
        <v>1790</v>
      </c>
      <c r="C567" s="1815" t="s">
        <v>178</v>
      </c>
      <c r="E567" s="1813"/>
    </row>
    <row r="568" spans="1:5" ht="18.75">
      <c r="A568" s="1498" t="s">
        <v>1470</v>
      </c>
      <c r="B568" s="1518" t="s">
        <v>1791</v>
      </c>
      <c r="C568" s="1815" t="s">
        <v>178</v>
      </c>
      <c r="E568" s="1813"/>
    </row>
    <row r="569" spans="1:5" ht="19.5">
      <c r="A569" s="1498" t="s">
        <v>1471</v>
      </c>
      <c r="B569" s="1519" t="s">
        <v>1792</v>
      </c>
      <c r="C569" s="1815" t="s">
        <v>178</v>
      </c>
      <c r="E569" s="1813"/>
    </row>
    <row r="570" spans="1:5" ht="18.75">
      <c r="A570" s="1498" t="s">
        <v>1472</v>
      </c>
      <c r="B570" s="1518" t="s">
        <v>1793</v>
      </c>
      <c r="C570" s="1815" t="s">
        <v>178</v>
      </c>
      <c r="E570" s="1813"/>
    </row>
    <row r="571" spans="1:5" ht="19.5" thickBot="1">
      <c r="A571" s="1498" t="s">
        <v>1473</v>
      </c>
      <c r="B571" s="1521" t="s">
        <v>1794</v>
      </c>
      <c r="C571" s="1815" t="s">
        <v>178</v>
      </c>
      <c r="E571" s="1813"/>
    </row>
    <row r="572" spans="1:5" ht="18.75">
      <c r="A572" s="1498" t="s">
        <v>1474</v>
      </c>
      <c r="B572" s="1524" t="s">
        <v>1795</v>
      </c>
      <c r="C572" s="1815" t="s">
        <v>178</v>
      </c>
      <c r="E572" s="1813"/>
    </row>
    <row r="573" spans="1:5" ht="18.75">
      <c r="A573" s="1498" t="s">
        <v>1475</v>
      </c>
      <c r="B573" s="1518" t="s">
        <v>1796</v>
      </c>
      <c r="C573" s="1815" t="s">
        <v>178</v>
      </c>
      <c r="E573" s="1813"/>
    </row>
    <row r="574" spans="1:5" ht="18.75">
      <c r="A574" s="1498" t="s">
        <v>1476</v>
      </c>
      <c r="B574" s="1518" t="s">
        <v>1797</v>
      </c>
      <c r="C574" s="1815" t="s">
        <v>178</v>
      </c>
      <c r="E574" s="1813"/>
    </row>
    <row r="575" spans="1:5" ht="18.75">
      <c r="A575" s="1498" t="s">
        <v>1477</v>
      </c>
      <c r="B575" s="1518" t="s">
        <v>1798</v>
      </c>
      <c r="C575" s="1815" t="s">
        <v>178</v>
      </c>
      <c r="E575" s="1813"/>
    </row>
    <row r="576" spans="1:5" ht="18.75">
      <c r="A576" s="1498" t="s">
        <v>1478</v>
      </c>
      <c r="B576" s="1518" t="s">
        <v>1799</v>
      </c>
      <c r="C576" s="1815" t="s">
        <v>178</v>
      </c>
      <c r="E576" s="1813"/>
    </row>
    <row r="577" spans="1:5" ht="18.75">
      <c r="A577" s="1498" t="s">
        <v>1479</v>
      </c>
      <c r="B577" s="1518" t="s">
        <v>1800</v>
      </c>
      <c r="C577" s="1815" t="s">
        <v>178</v>
      </c>
      <c r="E577" s="1813"/>
    </row>
    <row r="578" spans="1:5" ht="18.75">
      <c r="A578" s="1498" t="s">
        <v>1480</v>
      </c>
      <c r="B578" s="1518" t="s">
        <v>1801</v>
      </c>
      <c r="C578" s="1815" t="s">
        <v>178</v>
      </c>
      <c r="E578" s="1813"/>
    </row>
    <row r="579" spans="1:5" ht="19.5">
      <c r="A579" s="1498" t="s">
        <v>1481</v>
      </c>
      <c r="B579" s="1519" t="s">
        <v>1802</v>
      </c>
      <c r="C579" s="1815" t="s">
        <v>178</v>
      </c>
      <c r="E579" s="1813"/>
    </row>
    <row r="580" spans="1:5" ht="18.75">
      <c r="A580" s="1498" t="s">
        <v>1482</v>
      </c>
      <c r="B580" s="1518" t="s">
        <v>1803</v>
      </c>
      <c r="C580" s="1815" t="s">
        <v>178</v>
      </c>
      <c r="E580" s="1813"/>
    </row>
    <row r="581" spans="1:5" ht="18.75">
      <c r="A581" s="1498" t="s">
        <v>1483</v>
      </c>
      <c r="B581" s="1518" t="s">
        <v>1804</v>
      </c>
      <c r="C581" s="1815" t="s">
        <v>178</v>
      </c>
      <c r="E581" s="1813"/>
    </row>
    <row r="582" spans="1:5" ht="19.5" thickBot="1">
      <c r="A582" s="1498" t="s">
        <v>1484</v>
      </c>
      <c r="B582" s="1521" t="s">
        <v>1805</v>
      </c>
      <c r="C582" s="1815" t="s">
        <v>178</v>
      </c>
      <c r="E582" s="1813"/>
    </row>
    <row r="583" spans="1:5" ht="18.75">
      <c r="A583" s="1498" t="s">
        <v>1485</v>
      </c>
      <c r="B583" s="1524" t="s">
        <v>1806</v>
      </c>
      <c r="C583" s="1815" t="s">
        <v>178</v>
      </c>
      <c r="E583" s="1813"/>
    </row>
    <row r="584" spans="1:5" ht="18.75">
      <c r="A584" s="1498" t="s">
        <v>1486</v>
      </c>
      <c r="B584" s="1518" t="s">
        <v>1807</v>
      </c>
      <c r="C584" s="1815" t="s">
        <v>178</v>
      </c>
      <c r="E584" s="1813"/>
    </row>
    <row r="585" spans="1:5" ht="18.75">
      <c r="A585" s="1498" t="s">
        <v>1487</v>
      </c>
      <c r="B585" s="1518" t="s">
        <v>1808</v>
      </c>
      <c r="C585" s="1815" t="s">
        <v>178</v>
      </c>
      <c r="E585" s="1813"/>
    </row>
    <row r="586" spans="1:5" ht="18.75">
      <c r="A586" s="1498" t="s">
        <v>1488</v>
      </c>
      <c r="B586" s="1518" t="s">
        <v>1809</v>
      </c>
      <c r="C586" s="1815" t="s">
        <v>178</v>
      </c>
      <c r="E586" s="1813"/>
    </row>
    <row r="587" spans="1:5" ht="18.75">
      <c r="A587" s="1498" t="s">
        <v>1489</v>
      </c>
      <c r="B587" s="1518" t="s">
        <v>1810</v>
      </c>
      <c r="C587" s="1815" t="s">
        <v>178</v>
      </c>
      <c r="E587" s="1813"/>
    </row>
    <row r="588" spans="1:5" ht="18.75">
      <c r="A588" s="1498" t="s">
        <v>1490</v>
      </c>
      <c r="B588" s="1518" t="s">
        <v>1811</v>
      </c>
      <c r="C588" s="1815" t="s">
        <v>178</v>
      </c>
      <c r="E588" s="1813"/>
    </row>
    <row r="589" spans="1:5" ht="18.75">
      <c r="A589" s="1498" t="s">
        <v>1491</v>
      </c>
      <c r="B589" s="1518" t="s">
        <v>1812</v>
      </c>
      <c r="C589" s="1815" t="s">
        <v>178</v>
      </c>
      <c r="E589" s="1813"/>
    </row>
    <row r="590" spans="1:5" ht="18.75">
      <c r="A590" s="1498" t="s">
        <v>1492</v>
      </c>
      <c r="B590" s="1518" t="s">
        <v>1813</v>
      </c>
      <c r="C590" s="1815" t="s">
        <v>178</v>
      </c>
      <c r="E590" s="1813"/>
    </row>
    <row r="591" spans="1:5" ht="19.5">
      <c r="A591" s="1498" t="s">
        <v>1493</v>
      </c>
      <c r="B591" s="1519" t="s">
        <v>1814</v>
      </c>
      <c r="C591" s="1815" t="s">
        <v>178</v>
      </c>
      <c r="E591" s="1813"/>
    </row>
    <row r="592" spans="1:5" ht="18.75">
      <c r="A592" s="1498" t="s">
        <v>1494</v>
      </c>
      <c r="B592" s="1518" t="s">
        <v>1815</v>
      </c>
      <c r="C592" s="1815" t="s">
        <v>178</v>
      </c>
      <c r="E592" s="1813"/>
    </row>
    <row r="593" spans="1:5" ht="18.75">
      <c r="A593" s="1498" t="s">
        <v>1495</v>
      </c>
      <c r="B593" s="1518" t="s">
        <v>1816</v>
      </c>
      <c r="C593" s="1815" t="s">
        <v>178</v>
      </c>
      <c r="E593" s="1813"/>
    </row>
    <row r="594" spans="1:5" ht="18.75">
      <c r="A594" s="1498" t="s">
        <v>1496</v>
      </c>
      <c r="B594" s="1518" t="s">
        <v>1817</v>
      </c>
      <c r="C594" s="1815" t="s">
        <v>178</v>
      </c>
      <c r="E594" s="1813"/>
    </row>
    <row r="595" spans="1:5" ht="18.75">
      <c r="A595" s="1498" t="s">
        <v>1497</v>
      </c>
      <c r="B595" s="1518" t="s">
        <v>1818</v>
      </c>
      <c r="C595" s="1815" t="s">
        <v>178</v>
      </c>
      <c r="E595" s="1813"/>
    </row>
    <row r="596" spans="1:5" ht="18.75">
      <c r="A596" s="1498" t="s">
        <v>1498</v>
      </c>
      <c r="B596" s="1518" t="s">
        <v>1819</v>
      </c>
      <c r="C596" s="1815" t="s">
        <v>178</v>
      </c>
      <c r="E596" s="1813"/>
    </row>
    <row r="597" spans="1:5" ht="18.75">
      <c r="A597" s="1498" t="s">
        <v>1499</v>
      </c>
      <c r="B597" s="1518" t="s">
        <v>1820</v>
      </c>
      <c r="C597" s="1815" t="s">
        <v>178</v>
      </c>
      <c r="E597" s="1813"/>
    </row>
    <row r="598" spans="1:5" ht="18.75">
      <c r="A598" s="1498" t="s">
        <v>1500</v>
      </c>
      <c r="B598" s="1518" t="s">
        <v>1821</v>
      </c>
      <c r="C598" s="1815" t="s">
        <v>178</v>
      </c>
      <c r="E598" s="1813"/>
    </row>
    <row r="599" spans="1:5" ht="18.75">
      <c r="A599" s="1498" t="s">
        <v>1501</v>
      </c>
      <c r="B599" s="1518" t="s">
        <v>1822</v>
      </c>
      <c r="C599" s="1815" t="s">
        <v>178</v>
      </c>
      <c r="E599" s="1813"/>
    </row>
    <row r="600" spans="1:5" ht="19.5" thickBot="1">
      <c r="A600" s="1498" t="s">
        <v>1502</v>
      </c>
      <c r="B600" s="1525" t="s">
        <v>1823</v>
      </c>
      <c r="C600" s="1815" t="s">
        <v>178</v>
      </c>
      <c r="E600" s="1813"/>
    </row>
    <row r="601" spans="1:5" ht="18.75">
      <c r="A601" s="1498" t="s">
        <v>1503</v>
      </c>
      <c r="B601" s="1517" t="s">
        <v>1824</v>
      </c>
      <c r="C601" s="1815" t="s">
        <v>178</v>
      </c>
      <c r="E601" s="1813"/>
    </row>
    <row r="602" spans="1:5" ht="18.75">
      <c r="A602" s="1498" t="s">
        <v>1504</v>
      </c>
      <c r="B602" s="1518" t="s">
        <v>1825</v>
      </c>
      <c r="C602" s="1815" t="s">
        <v>178</v>
      </c>
      <c r="E602" s="1813"/>
    </row>
    <row r="603" spans="1:5" ht="18.75">
      <c r="A603" s="1498" t="s">
        <v>1505</v>
      </c>
      <c r="B603" s="1518" t="s">
        <v>1826</v>
      </c>
      <c r="C603" s="1815" t="s">
        <v>178</v>
      </c>
      <c r="E603" s="1813"/>
    </row>
    <row r="604" spans="1:5" ht="18.75">
      <c r="A604" s="1498" t="s">
        <v>1506</v>
      </c>
      <c r="B604" s="1518" t="s">
        <v>1827</v>
      </c>
      <c r="C604" s="1815" t="s">
        <v>178</v>
      </c>
      <c r="E604" s="1813"/>
    </row>
    <row r="605" spans="1:5" ht="19.5">
      <c r="A605" s="1498" t="s">
        <v>1507</v>
      </c>
      <c r="B605" s="1519" t="s">
        <v>1828</v>
      </c>
      <c r="C605" s="1815" t="s">
        <v>178</v>
      </c>
      <c r="E605" s="1813"/>
    </row>
    <row r="606" spans="1:5" ht="18.75">
      <c r="A606" s="1498" t="s">
        <v>1508</v>
      </c>
      <c r="B606" s="1518" t="s">
        <v>1829</v>
      </c>
      <c r="C606" s="1815" t="s">
        <v>178</v>
      </c>
      <c r="E606" s="1813"/>
    </row>
    <row r="607" spans="1:5" ht="19.5" thickBot="1">
      <c r="A607" s="1498" t="s">
        <v>1509</v>
      </c>
      <c r="B607" s="1521" t="s">
        <v>1830</v>
      </c>
      <c r="C607" s="1815" t="s">
        <v>178</v>
      </c>
      <c r="E607" s="1813"/>
    </row>
    <row r="608" spans="1:5" ht="18.75">
      <c r="A608" s="1498" t="s">
        <v>1510</v>
      </c>
      <c r="B608" s="1517" t="s">
        <v>1831</v>
      </c>
      <c r="C608" s="1815" t="s">
        <v>178</v>
      </c>
      <c r="E608" s="1813"/>
    </row>
    <row r="609" spans="1:5" ht="18.75">
      <c r="A609" s="1498" t="s">
        <v>1511</v>
      </c>
      <c r="B609" s="1518" t="s">
        <v>1690</v>
      </c>
      <c r="C609" s="1815" t="s">
        <v>178</v>
      </c>
      <c r="E609" s="1813"/>
    </row>
    <row r="610" spans="1:5" ht="18.75">
      <c r="A610" s="1498" t="s">
        <v>1512</v>
      </c>
      <c r="B610" s="1518" t="s">
        <v>1832</v>
      </c>
      <c r="C610" s="1815" t="s">
        <v>178</v>
      </c>
      <c r="E610" s="1813"/>
    </row>
    <row r="611" spans="1:5" ht="18.75">
      <c r="A611" s="1498" t="s">
        <v>1513</v>
      </c>
      <c r="B611" s="1518" t="s">
        <v>1833</v>
      </c>
      <c r="C611" s="1815" t="s">
        <v>178</v>
      </c>
      <c r="E611" s="1813"/>
    </row>
    <row r="612" spans="1:5" ht="18.75">
      <c r="A612" s="1498" t="s">
        <v>1514</v>
      </c>
      <c r="B612" s="1518" t="s">
        <v>1834</v>
      </c>
      <c r="C612" s="1815" t="s">
        <v>178</v>
      </c>
      <c r="E612" s="1813"/>
    </row>
    <row r="613" spans="1:5" ht="19.5">
      <c r="A613" s="1498" t="s">
        <v>1515</v>
      </c>
      <c r="B613" s="1519" t="s">
        <v>1835</v>
      </c>
      <c r="C613" s="1815" t="s">
        <v>178</v>
      </c>
      <c r="E613" s="1813"/>
    </row>
    <row r="614" spans="1:5" ht="18.75">
      <c r="A614" s="1498" t="s">
        <v>1516</v>
      </c>
      <c r="B614" s="1518" t="s">
        <v>1836</v>
      </c>
      <c r="C614" s="1815" t="s">
        <v>178</v>
      </c>
      <c r="E614" s="1813"/>
    </row>
    <row r="615" spans="1:5" ht="19.5" thickBot="1">
      <c r="A615" s="1498" t="s">
        <v>1517</v>
      </c>
      <c r="B615" s="1521" t="s">
        <v>1837</v>
      </c>
      <c r="C615" s="1815" t="s">
        <v>178</v>
      </c>
      <c r="E615" s="1813"/>
    </row>
    <row r="616" spans="1:5" ht="18.75">
      <c r="A616" s="1498" t="s">
        <v>1518</v>
      </c>
      <c r="B616" s="1517" t="s">
        <v>1838</v>
      </c>
      <c r="C616" s="1815" t="s">
        <v>178</v>
      </c>
      <c r="E616" s="1813"/>
    </row>
    <row r="617" spans="1:5" ht="18.75">
      <c r="A617" s="1498" t="s">
        <v>1519</v>
      </c>
      <c r="B617" s="1518" t="s">
        <v>1839</v>
      </c>
      <c r="C617" s="1815" t="s">
        <v>178</v>
      </c>
      <c r="E617" s="1813"/>
    </row>
    <row r="618" spans="1:5" ht="18.75">
      <c r="A618" s="1498" t="s">
        <v>1520</v>
      </c>
      <c r="B618" s="1518" t="s">
        <v>1840</v>
      </c>
      <c r="C618" s="1815" t="s">
        <v>178</v>
      </c>
      <c r="E618" s="1813"/>
    </row>
    <row r="619" spans="1:5" ht="18.75">
      <c r="A619" s="1498" t="s">
        <v>1521</v>
      </c>
      <c r="B619" s="1518" t="s">
        <v>1841</v>
      </c>
      <c r="C619" s="1815" t="s">
        <v>178</v>
      </c>
      <c r="E619" s="1813"/>
    </row>
    <row r="620" spans="1:5" ht="19.5">
      <c r="A620" s="1498" t="s">
        <v>1522</v>
      </c>
      <c r="B620" s="1519" t="s">
        <v>1842</v>
      </c>
      <c r="C620" s="1815" t="s">
        <v>178</v>
      </c>
      <c r="E620" s="1813"/>
    </row>
    <row r="621" spans="1:5" ht="18.75">
      <c r="A621" s="1498" t="s">
        <v>1523</v>
      </c>
      <c r="B621" s="1518" t="s">
        <v>1843</v>
      </c>
      <c r="C621" s="1815" t="s">
        <v>178</v>
      </c>
      <c r="E621" s="1813"/>
    </row>
    <row r="622" spans="1:5" ht="19.5" thickBot="1">
      <c r="A622" s="1498" t="s">
        <v>1524</v>
      </c>
      <c r="B622" s="1521" t="s">
        <v>1844</v>
      </c>
      <c r="C622" s="1815" t="s">
        <v>178</v>
      </c>
      <c r="E622" s="1813"/>
    </row>
    <row r="623" spans="1:5" ht="18.75">
      <c r="A623" s="1498" t="s">
        <v>1525</v>
      </c>
      <c r="B623" s="1517" t="s">
        <v>1845</v>
      </c>
      <c r="C623" s="1815" t="s">
        <v>178</v>
      </c>
      <c r="E623" s="1813"/>
    </row>
    <row r="624" spans="1:5" ht="18.75">
      <c r="A624" s="1498" t="s">
        <v>1526</v>
      </c>
      <c r="B624" s="1518" t="s">
        <v>1846</v>
      </c>
      <c r="C624" s="1815" t="s">
        <v>178</v>
      </c>
      <c r="E624" s="1813"/>
    </row>
    <row r="625" spans="1:5" ht="19.5">
      <c r="A625" s="1498" t="s">
        <v>1527</v>
      </c>
      <c r="B625" s="1519" t="s">
        <v>1847</v>
      </c>
      <c r="C625" s="1815" t="s">
        <v>178</v>
      </c>
      <c r="E625" s="1813"/>
    </row>
    <row r="626" spans="1:5" ht="19.5" thickBot="1">
      <c r="A626" s="1498" t="s">
        <v>1528</v>
      </c>
      <c r="B626" s="1521" t="s">
        <v>1848</v>
      </c>
      <c r="C626" s="1815" t="s">
        <v>178</v>
      </c>
      <c r="E626" s="1813"/>
    </row>
    <row r="627" spans="1:5" ht="18.75">
      <c r="A627" s="1498" t="s">
        <v>1529</v>
      </c>
      <c r="B627" s="1517" t="s">
        <v>1849</v>
      </c>
      <c r="C627" s="1815" t="s">
        <v>178</v>
      </c>
      <c r="E627" s="1813"/>
    </row>
    <row r="628" spans="1:5" ht="18.75">
      <c r="A628" s="1498" t="s">
        <v>1530</v>
      </c>
      <c r="B628" s="1518" t="s">
        <v>1850</v>
      </c>
      <c r="C628" s="1815" t="s">
        <v>178</v>
      </c>
      <c r="E628" s="1813"/>
    </row>
    <row r="629" spans="1:5" ht="18.75">
      <c r="A629" s="1498" t="s">
        <v>1531</v>
      </c>
      <c r="B629" s="1518" t="s">
        <v>1851</v>
      </c>
      <c r="C629" s="1815" t="s">
        <v>178</v>
      </c>
      <c r="E629" s="1813"/>
    </row>
    <row r="630" spans="1:5" ht="18.75">
      <c r="A630" s="1498" t="s">
        <v>1532</v>
      </c>
      <c r="B630" s="1518" t="s">
        <v>1852</v>
      </c>
      <c r="C630" s="1815" t="s">
        <v>178</v>
      </c>
      <c r="E630" s="1813"/>
    </row>
    <row r="631" spans="1:5" ht="18.75">
      <c r="A631" s="1498" t="s">
        <v>1533</v>
      </c>
      <c r="B631" s="1518" t="s">
        <v>1853</v>
      </c>
      <c r="C631" s="1815" t="s">
        <v>178</v>
      </c>
      <c r="E631" s="1813"/>
    </row>
    <row r="632" spans="1:5" ht="18.75">
      <c r="A632" s="1498" t="s">
        <v>1534</v>
      </c>
      <c r="B632" s="1518" t="s">
        <v>1854</v>
      </c>
      <c r="C632" s="1815" t="s">
        <v>178</v>
      </c>
      <c r="E632" s="1813"/>
    </row>
    <row r="633" spans="1:5" ht="18.75">
      <c r="A633" s="1498" t="s">
        <v>1535</v>
      </c>
      <c r="B633" s="1518" t="s">
        <v>1855</v>
      </c>
      <c r="C633" s="1815" t="s">
        <v>178</v>
      </c>
      <c r="E633" s="1813"/>
    </row>
    <row r="634" spans="1:5" ht="18.75">
      <c r="A634" s="1498" t="s">
        <v>1536</v>
      </c>
      <c r="B634" s="1518" t="s">
        <v>1856</v>
      </c>
      <c r="C634" s="1815" t="s">
        <v>178</v>
      </c>
      <c r="E634" s="1813"/>
    </row>
    <row r="635" spans="1:5" ht="19.5">
      <c r="A635" s="1498" t="s">
        <v>1537</v>
      </c>
      <c r="B635" s="1519" t="s">
        <v>1857</v>
      </c>
      <c r="C635" s="1815" t="s">
        <v>178</v>
      </c>
      <c r="E635" s="1813"/>
    </row>
    <row r="636" spans="1:5" ht="19.5" thickBot="1">
      <c r="A636" s="1498" t="s">
        <v>1538</v>
      </c>
      <c r="B636" s="1521" t="s">
        <v>1858</v>
      </c>
      <c r="C636" s="1815" t="s">
        <v>178</v>
      </c>
      <c r="E636" s="1813"/>
    </row>
    <row r="637" spans="1:5" ht="18.75">
      <c r="A637" s="1498" t="s">
        <v>1539</v>
      </c>
      <c r="B637" s="1517" t="s">
        <v>311</v>
      </c>
      <c r="C637" s="1815" t="s">
        <v>178</v>
      </c>
      <c r="E637" s="1813"/>
    </row>
    <row r="638" spans="1:5" ht="18.75">
      <c r="A638" s="1498" t="s">
        <v>1540</v>
      </c>
      <c r="B638" s="1518" t="s">
        <v>312</v>
      </c>
      <c r="C638" s="1815" t="s">
        <v>178</v>
      </c>
      <c r="E638" s="1813"/>
    </row>
    <row r="639" spans="1:5" ht="18.75">
      <c r="A639" s="1498" t="s">
        <v>1541</v>
      </c>
      <c r="B639" s="1518" t="s">
        <v>313</v>
      </c>
      <c r="C639" s="1815" t="s">
        <v>178</v>
      </c>
      <c r="E639" s="1813"/>
    </row>
    <row r="640" spans="1:5" ht="18.75">
      <c r="A640" s="1498" t="s">
        <v>1542</v>
      </c>
      <c r="B640" s="1518" t="s">
        <v>314</v>
      </c>
      <c r="C640" s="1815" t="s">
        <v>178</v>
      </c>
      <c r="E640" s="1813"/>
    </row>
    <row r="641" spans="1:5" ht="18.75">
      <c r="A641" s="1498" t="s">
        <v>1543</v>
      </c>
      <c r="B641" s="1518" t="s">
        <v>315</v>
      </c>
      <c r="C641" s="1815" t="s">
        <v>178</v>
      </c>
      <c r="E641" s="1813"/>
    </row>
    <row r="642" spans="1:5" ht="18.75">
      <c r="A642" s="1498" t="s">
        <v>1544</v>
      </c>
      <c r="B642" s="1518" t="s">
        <v>316</v>
      </c>
      <c r="C642" s="1815" t="s">
        <v>178</v>
      </c>
      <c r="E642" s="1813"/>
    </row>
    <row r="643" spans="1:5" ht="18.75">
      <c r="A643" s="1498" t="s">
        <v>1545</v>
      </c>
      <c r="B643" s="1518" t="s">
        <v>317</v>
      </c>
      <c r="C643" s="1815" t="s">
        <v>178</v>
      </c>
      <c r="E643" s="1813"/>
    </row>
    <row r="644" spans="1:5" ht="18.75">
      <c r="A644" s="1498" t="s">
        <v>1546</v>
      </c>
      <c r="B644" s="1518" t="s">
        <v>318</v>
      </c>
      <c r="C644" s="1815" t="s">
        <v>178</v>
      </c>
      <c r="E644" s="1813"/>
    </row>
    <row r="645" spans="1:5" ht="18.75">
      <c r="A645" s="1498" t="s">
        <v>1547</v>
      </c>
      <c r="B645" s="1518" t="s">
        <v>736</v>
      </c>
      <c r="C645" s="1815" t="s">
        <v>178</v>
      </c>
      <c r="E645" s="1813"/>
    </row>
    <row r="646" spans="1:5" ht="18.75">
      <c r="A646" s="1498" t="s">
        <v>1548</v>
      </c>
      <c r="B646" s="1518" t="s">
        <v>737</v>
      </c>
      <c r="C646" s="1815" t="s">
        <v>178</v>
      </c>
      <c r="E646" s="1813"/>
    </row>
    <row r="647" spans="1:5" ht="18.75">
      <c r="A647" s="1498" t="s">
        <v>1549</v>
      </c>
      <c r="B647" s="1518" t="s">
        <v>738</v>
      </c>
      <c r="C647" s="1815" t="s">
        <v>178</v>
      </c>
      <c r="E647" s="1813"/>
    </row>
    <row r="648" spans="1:5" ht="18.75">
      <c r="A648" s="1498" t="s">
        <v>1550</v>
      </c>
      <c r="B648" s="1518" t="s">
        <v>739</v>
      </c>
      <c r="C648" s="1815" t="s">
        <v>178</v>
      </c>
      <c r="E648" s="1813"/>
    </row>
    <row r="649" spans="1:5" ht="18.75">
      <c r="A649" s="1498" t="s">
        <v>1551</v>
      </c>
      <c r="B649" s="1518" t="s">
        <v>740</v>
      </c>
      <c r="C649" s="1815" t="s">
        <v>178</v>
      </c>
      <c r="E649" s="1813"/>
    </row>
    <row r="650" spans="1:5" ht="18.75">
      <c r="A650" s="1498" t="s">
        <v>1552</v>
      </c>
      <c r="B650" s="1518" t="s">
        <v>741</v>
      </c>
      <c r="C650" s="1815" t="s">
        <v>178</v>
      </c>
      <c r="E650" s="1813"/>
    </row>
    <row r="651" spans="1:5" ht="18.75">
      <c r="A651" s="1498" t="s">
        <v>1553</v>
      </c>
      <c r="B651" s="1518" t="s">
        <v>742</v>
      </c>
      <c r="C651" s="1815" t="s">
        <v>178</v>
      </c>
      <c r="E651" s="1813"/>
    </row>
    <row r="652" spans="1:5" ht="18.75">
      <c r="A652" s="1498" t="s">
        <v>1554</v>
      </c>
      <c r="B652" s="1518" t="s">
        <v>743</v>
      </c>
      <c r="C652" s="1815" t="s">
        <v>178</v>
      </c>
      <c r="E652" s="1813"/>
    </row>
    <row r="653" spans="1:5" ht="18.75">
      <c r="A653" s="1498" t="s">
        <v>1555</v>
      </c>
      <c r="B653" s="1518" t="s">
        <v>744</v>
      </c>
      <c r="C653" s="1815" t="s">
        <v>178</v>
      </c>
      <c r="E653" s="1813"/>
    </row>
    <row r="654" spans="1:5" ht="18.75">
      <c r="A654" s="1498" t="s">
        <v>1556</v>
      </c>
      <c r="B654" s="1518" t="s">
        <v>745</v>
      </c>
      <c r="C654" s="1815" t="s">
        <v>178</v>
      </c>
      <c r="E654" s="1813"/>
    </row>
    <row r="655" spans="1:5" ht="18.75">
      <c r="A655" s="1498" t="s">
        <v>1557</v>
      </c>
      <c r="B655" s="1518" t="s">
        <v>746</v>
      </c>
      <c r="C655" s="1815" t="s">
        <v>178</v>
      </c>
      <c r="E655" s="1813"/>
    </row>
    <row r="656" spans="1:5" ht="18.75">
      <c r="A656" s="1498" t="s">
        <v>1558</v>
      </c>
      <c r="B656" s="1518" t="s">
        <v>747</v>
      </c>
      <c r="C656" s="1815" t="s">
        <v>178</v>
      </c>
      <c r="E656" s="1813"/>
    </row>
    <row r="657" spans="1:5" ht="18.75">
      <c r="A657" s="1498" t="s">
        <v>1559</v>
      </c>
      <c r="B657" s="1518" t="s">
        <v>748</v>
      </c>
      <c r="C657" s="1815" t="s">
        <v>178</v>
      </c>
      <c r="E657" s="1813"/>
    </row>
    <row r="658" spans="1:5" ht="18.75">
      <c r="A658" s="1498" t="s">
        <v>1560</v>
      </c>
      <c r="B658" s="1518" t="s">
        <v>749</v>
      </c>
      <c r="C658" s="1815" t="s">
        <v>178</v>
      </c>
      <c r="E658" s="1813"/>
    </row>
    <row r="659" spans="1:5" ht="18.75">
      <c r="A659" s="1498" t="s">
        <v>1561</v>
      </c>
      <c r="B659" s="1518" t="s">
        <v>750</v>
      </c>
      <c r="C659" s="1815" t="s">
        <v>178</v>
      </c>
      <c r="E659" s="1813"/>
    </row>
    <row r="660" spans="1:5" ht="18.75">
      <c r="A660" s="1498" t="s">
        <v>1562</v>
      </c>
      <c r="B660" s="1518" t="s">
        <v>751</v>
      </c>
      <c r="C660" s="1815" t="s">
        <v>178</v>
      </c>
      <c r="E660" s="1813"/>
    </row>
    <row r="661" spans="1:5" ht="20.25" thickBot="1">
      <c r="A661" s="1498" t="s">
        <v>1563</v>
      </c>
      <c r="B661" s="1526" t="s">
        <v>752</v>
      </c>
      <c r="C661" s="1815" t="s">
        <v>178</v>
      </c>
      <c r="E661" s="1813"/>
    </row>
    <row r="662" spans="1:5" ht="18.75">
      <c r="A662" s="1498" t="s">
        <v>1564</v>
      </c>
      <c r="B662" s="1517" t="s">
        <v>1859</v>
      </c>
      <c r="C662" s="1815" t="s">
        <v>178</v>
      </c>
      <c r="E662" s="1813"/>
    </row>
    <row r="663" spans="1:5" ht="18.75">
      <c r="A663" s="1498" t="s">
        <v>1565</v>
      </c>
      <c r="B663" s="1518" t="s">
        <v>1860</v>
      </c>
      <c r="C663" s="1815" t="s">
        <v>178</v>
      </c>
      <c r="E663" s="1813"/>
    </row>
    <row r="664" spans="1:5" ht="18.75">
      <c r="A664" s="1498" t="s">
        <v>1566</v>
      </c>
      <c r="B664" s="1518" t="s">
        <v>1861</v>
      </c>
      <c r="C664" s="1815" t="s">
        <v>178</v>
      </c>
      <c r="E664" s="1813"/>
    </row>
    <row r="665" spans="1:5" ht="18.75">
      <c r="A665" s="1498" t="s">
        <v>1567</v>
      </c>
      <c r="B665" s="1518" t="s">
        <v>1862</v>
      </c>
      <c r="C665" s="1815" t="s">
        <v>178</v>
      </c>
      <c r="E665" s="1813"/>
    </row>
    <row r="666" spans="1:5" ht="18.75">
      <c r="A666" s="1498" t="s">
        <v>1568</v>
      </c>
      <c r="B666" s="1518" t="s">
        <v>1863</v>
      </c>
      <c r="C666" s="1815" t="s">
        <v>178</v>
      </c>
      <c r="E666" s="1813"/>
    </row>
    <row r="667" spans="1:5" ht="18.75">
      <c r="A667" s="1498" t="s">
        <v>1569</v>
      </c>
      <c r="B667" s="1518" t="s">
        <v>1864</v>
      </c>
      <c r="C667" s="1815" t="s">
        <v>178</v>
      </c>
      <c r="E667" s="1813"/>
    </row>
    <row r="668" spans="1:5" ht="18.75">
      <c r="A668" s="1498" t="s">
        <v>1570</v>
      </c>
      <c r="B668" s="1518" t="s">
        <v>1865</v>
      </c>
      <c r="C668" s="1815" t="s">
        <v>178</v>
      </c>
      <c r="E668" s="1813"/>
    </row>
    <row r="669" spans="1:5" ht="18.75">
      <c r="A669" s="1498" t="s">
        <v>1571</v>
      </c>
      <c r="B669" s="1518" t="s">
        <v>1866</v>
      </c>
      <c r="C669" s="1815" t="s">
        <v>178</v>
      </c>
      <c r="E669" s="1813"/>
    </row>
    <row r="670" spans="1:5" ht="18.75">
      <c r="A670" s="1498" t="s">
        <v>1572</v>
      </c>
      <c r="B670" s="1518" t="s">
        <v>1867</v>
      </c>
      <c r="C670" s="1815" t="s">
        <v>178</v>
      </c>
      <c r="E670" s="1813"/>
    </row>
    <row r="671" spans="1:5" ht="18.75">
      <c r="A671" s="1498" t="s">
        <v>1573</v>
      </c>
      <c r="B671" s="1518" t="s">
        <v>1868</v>
      </c>
      <c r="C671" s="1815" t="s">
        <v>178</v>
      </c>
      <c r="E671" s="1813"/>
    </row>
    <row r="672" spans="1:5" ht="18.75">
      <c r="A672" s="1498" t="s">
        <v>1574</v>
      </c>
      <c r="B672" s="1518" t="s">
        <v>1869</v>
      </c>
      <c r="C672" s="1815" t="s">
        <v>178</v>
      </c>
      <c r="E672" s="1813"/>
    </row>
    <row r="673" spans="1:5" ht="18.75">
      <c r="A673" s="1498" t="s">
        <v>1575</v>
      </c>
      <c r="B673" s="1518" t="s">
        <v>1870</v>
      </c>
      <c r="C673" s="1815" t="s">
        <v>178</v>
      </c>
      <c r="E673" s="1813"/>
    </row>
    <row r="674" spans="1:5" ht="18.75">
      <c r="A674" s="1498" t="s">
        <v>1576</v>
      </c>
      <c r="B674" s="1518" t="s">
        <v>1871</v>
      </c>
      <c r="C674" s="1815" t="s">
        <v>178</v>
      </c>
      <c r="E674" s="1813"/>
    </row>
    <row r="675" spans="1:5" ht="18.75">
      <c r="A675" s="1498" t="s">
        <v>1577</v>
      </c>
      <c r="B675" s="1518" t="s">
        <v>1872</v>
      </c>
      <c r="C675" s="1815" t="s">
        <v>178</v>
      </c>
      <c r="E675" s="1813"/>
    </row>
    <row r="676" spans="1:5" ht="18.75">
      <c r="A676" s="1498" t="s">
        <v>1578</v>
      </c>
      <c r="B676" s="1518" t="s">
        <v>1873</v>
      </c>
      <c r="C676" s="1815" t="s">
        <v>178</v>
      </c>
      <c r="E676" s="1813"/>
    </row>
    <row r="677" spans="1:5" ht="18.75">
      <c r="A677" s="1498" t="s">
        <v>1579</v>
      </c>
      <c r="B677" s="1518" t="s">
        <v>1874</v>
      </c>
      <c r="C677" s="1815" t="s">
        <v>178</v>
      </c>
      <c r="E677" s="1813"/>
    </row>
    <row r="678" spans="1:5" ht="18.75">
      <c r="A678" s="1498" t="s">
        <v>1580</v>
      </c>
      <c r="B678" s="1518" t="s">
        <v>1875</v>
      </c>
      <c r="C678" s="1815" t="s">
        <v>178</v>
      </c>
      <c r="E678" s="1813"/>
    </row>
    <row r="679" spans="1:5" ht="18.75">
      <c r="A679" s="1498" t="s">
        <v>1581</v>
      </c>
      <c r="B679" s="1518" t="s">
        <v>1876</v>
      </c>
      <c r="C679" s="1815" t="s">
        <v>178</v>
      </c>
      <c r="E679" s="1813"/>
    </row>
    <row r="680" spans="1:5" ht="18.75">
      <c r="A680" s="1498" t="s">
        <v>1582</v>
      </c>
      <c r="B680" s="1518" t="s">
        <v>1877</v>
      </c>
      <c r="C680" s="1815" t="s">
        <v>178</v>
      </c>
      <c r="E680" s="1813"/>
    </row>
    <row r="681" spans="1:5" ht="18.75">
      <c r="A681" s="1498" t="s">
        <v>1583</v>
      </c>
      <c r="B681" s="1518" t="s">
        <v>1878</v>
      </c>
      <c r="C681" s="1815" t="s">
        <v>178</v>
      </c>
      <c r="E681" s="1813"/>
    </row>
    <row r="682" spans="1:5" ht="18.75">
      <c r="A682" s="1498" t="s">
        <v>1584</v>
      </c>
      <c r="B682" s="1518" t="s">
        <v>1879</v>
      </c>
      <c r="C682" s="1815" t="s">
        <v>178</v>
      </c>
      <c r="E682" s="1813"/>
    </row>
    <row r="683" spans="1:5" ht="19.5" thickBot="1">
      <c r="A683" s="1498" t="s">
        <v>1585</v>
      </c>
      <c r="B683" s="1521" t="s">
        <v>1880</v>
      </c>
      <c r="C683" s="1815" t="s">
        <v>178</v>
      </c>
      <c r="E683" s="1813"/>
    </row>
    <row r="684" spans="1:5" ht="18.75">
      <c r="A684" s="1498" t="s">
        <v>1586</v>
      </c>
      <c r="B684" s="1517" t="s">
        <v>1881</v>
      </c>
      <c r="C684" s="1815" t="s">
        <v>178</v>
      </c>
      <c r="E684" s="1813"/>
    </row>
    <row r="685" spans="1:5" ht="18.75">
      <c r="A685" s="1498" t="s">
        <v>1587</v>
      </c>
      <c r="B685" s="1518" t="s">
        <v>1882</v>
      </c>
      <c r="C685" s="1815" t="s">
        <v>178</v>
      </c>
      <c r="E685" s="1813"/>
    </row>
    <row r="686" spans="1:5" ht="18.75">
      <c r="A686" s="1498" t="s">
        <v>1588</v>
      </c>
      <c r="B686" s="1518" t="s">
        <v>1883</v>
      </c>
      <c r="C686" s="1815" t="s">
        <v>178</v>
      </c>
      <c r="E686" s="1813"/>
    </row>
    <row r="687" spans="1:5" ht="18.75">
      <c r="A687" s="1498" t="s">
        <v>1589</v>
      </c>
      <c r="B687" s="1518" t="s">
        <v>1884</v>
      </c>
      <c r="C687" s="1815" t="s">
        <v>178</v>
      </c>
      <c r="E687" s="1813"/>
    </row>
    <row r="688" spans="1:5" ht="18.75">
      <c r="A688" s="1498" t="s">
        <v>1590</v>
      </c>
      <c r="B688" s="1518" t="s">
        <v>1885</v>
      </c>
      <c r="C688" s="1815" t="s">
        <v>178</v>
      </c>
      <c r="E688" s="1813"/>
    </row>
    <row r="689" spans="1:3" ht="18.75">
      <c r="A689" s="1498" t="s">
        <v>1591</v>
      </c>
      <c r="B689" s="1518" t="s">
        <v>1886</v>
      </c>
      <c r="C689" s="1815" t="s">
        <v>178</v>
      </c>
    </row>
    <row r="690" spans="1:3" ht="18.75">
      <c r="A690" s="1498" t="s">
        <v>1592</v>
      </c>
      <c r="B690" s="1518" t="s">
        <v>1887</v>
      </c>
      <c r="C690" s="1815" t="s">
        <v>178</v>
      </c>
    </row>
    <row r="691" spans="1:3" ht="18.75">
      <c r="A691" s="1498" t="s">
        <v>1593</v>
      </c>
      <c r="B691" s="1518" t="s">
        <v>1888</v>
      </c>
      <c r="C691" s="1815" t="s">
        <v>178</v>
      </c>
    </row>
    <row r="692" spans="1:3" ht="18.75">
      <c r="A692" s="1498" t="s">
        <v>1594</v>
      </c>
      <c r="B692" s="1518" t="s">
        <v>1889</v>
      </c>
      <c r="C692" s="1815" t="s">
        <v>178</v>
      </c>
    </row>
    <row r="693" spans="1:3" ht="19.5">
      <c r="A693" s="1498" t="s">
        <v>1595</v>
      </c>
      <c r="B693" s="1519" t="s">
        <v>1890</v>
      </c>
      <c r="C693" s="1815" t="s">
        <v>178</v>
      </c>
    </row>
    <row r="694" spans="1:3" ht="19.5" thickBot="1">
      <c r="A694" s="1498" t="s">
        <v>1596</v>
      </c>
      <c r="B694" s="1521" t="s">
        <v>1891</v>
      </c>
      <c r="C694" s="1815" t="s">
        <v>178</v>
      </c>
    </row>
    <row r="695" spans="1:3" ht="18.75">
      <c r="A695" s="1498" t="s">
        <v>1597</v>
      </c>
      <c r="B695" s="1517" t="s">
        <v>1892</v>
      </c>
      <c r="C695" s="1815" t="s">
        <v>178</v>
      </c>
    </row>
    <row r="696" spans="1:3" ht="18.75">
      <c r="A696" s="1498" t="s">
        <v>1598</v>
      </c>
      <c r="B696" s="1518" t="s">
        <v>1893</v>
      </c>
      <c r="C696" s="1815" t="s">
        <v>178</v>
      </c>
    </row>
    <row r="697" spans="1:3" ht="18.75">
      <c r="A697" s="1498" t="s">
        <v>1599</v>
      </c>
      <c r="B697" s="1518" t="s">
        <v>1894</v>
      </c>
      <c r="C697" s="1815" t="s">
        <v>178</v>
      </c>
    </row>
    <row r="698" spans="1:3" ht="18.75">
      <c r="A698" s="1498" t="s">
        <v>1600</v>
      </c>
      <c r="B698" s="1518" t="s">
        <v>1895</v>
      </c>
      <c r="C698" s="1815" t="s">
        <v>178</v>
      </c>
    </row>
    <row r="699" spans="1:3" ht="20.25" thickBot="1">
      <c r="A699" s="1498" t="s">
        <v>1601</v>
      </c>
      <c r="B699" s="1526" t="s">
        <v>1896</v>
      </c>
      <c r="C699" s="1815" t="s">
        <v>178</v>
      </c>
    </row>
    <row r="700" spans="1:3" ht="18.75">
      <c r="A700" s="1498" t="s">
        <v>1602</v>
      </c>
      <c r="B700" s="1517" t="s">
        <v>1897</v>
      </c>
      <c r="C700" s="1815" t="s">
        <v>178</v>
      </c>
    </row>
    <row r="701" spans="1:3" ht="18.75">
      <c r="A701" s="1498" t="s">
        <v>1603</v>
      </c>
      <c r="B701" s="1518" t="s">
        <v>1898</v>
      </c>
      <c r="C701" s="1815" t="s">
        <v>178</v>
      </c>
    </row>
    <row r="702" spans="1:3" ht="18.75">
      <c r="A702" s="1498" t="s">
        <v>1604</v>
      </c>
      <c r="B702" s="1518" t="s">
        <v>1899</v>
      </c>
      <c r="C702" s="1815" t="s">
        <v>178</v>
      </c>
    </row>
    <row r="703" spans="1:3" ht="18.75">
      <c r="A703" s="1498" t="s">
        <v>1605</v>
      </c>
      <c r="B703" s="1518" t="s">
        <v>1900</v>
      </c>
      <c r="C703" s="1815" t="s">
        <v>178</v>
      </c>
    </row>
    <row r="704" spans="1:3" ht="18.75">
      <c r="A704" s="1498" t="s">
        <v>1606</v>
      </c>
      <c r="B704" s="1518" t="s">
        <v>1901</v>
      </c>
      <c r="C704" s="1815" t="s">
        <v>178</v>
      </c>
    </row>
    <row r="705" spans="1:3" ht="18.75">
      <c r="A705" s="1498" t="s">
        <v>1607</v>
      </c>
      <c r="B705" s="1518" t="s">
        <v>1902</v>
      </c>
      <c r="C705" s="1815" t="s">
        <v>178</v>
      </c>
    </row>
    <row r="706" spans="1:3" ht="18.75">
      <c r="A706" s="1498" t="s">
        <v>1608</v>
      </c>
      <c r="B706" s="1518" t="s">
        <v>1903</v>
      </c>
      <c r="C706" s="1815" t="s">
        <v>178</v>
      </c>
    </row>
    <row r="707" spans="1:3" ht="18.75">
      <c r="A707" s="1498" t="s">
        <v>1609</v>
      </c>
      <c r="B707" s="1518" t="s">
        <v>1904</v>
      </c>
      <c r="C707" s="1815" t="s">
        <v>178</v>
      </c>
    </row>
    <row r="708" spans="1:3" ht="18.75">
      <c r="A708" s="1498" t="s">
        <v>1610</v>
      </c>
      <c r="B708" s="1518" t="s">
        <v>1905</v>
      </c>
      <c r="C708" s="1815" t="s">
        <v>178</v>
      </c>
    </row>
    <row r="709" spans="1:3" ht="18.75">
      <c r="A709" s="1498" t="s">
        <v>1611</v>
      </c>
      <c r="B709" s="1518" t="s">
        <v>1906</v>
      </c>
      <c r="C709" s="1815" t="s">
        <v>178</v>
      </c>
    </row>
    <row r="710" spans="1:3" ht="20.25" thickBot="1">
      <c r="A710" s="1498" t="s">
        <v>1612</v>
      </c>
      <c r="B710" s="1526" t="s">
        <v>1907</v>
      </c>
      <c r="C710" s="1815" t="s">
        <v>178</v>
      </c>
    </row>
    <row r="711" spans="1:3" ht="18.75">
      <c r="A711" s="1498" t="s">
        <v>1613</v>
      </c>
      <c r="B711" s="1517" t="s">
        <v>1908</v>
      </c>
      <c r="C711" s="1815" t="s">
        <v>178</v>
      </c>
    </row>
    <row r="712" spans="1:3" ht="18.75">
      <c r="A712" s="1498" t="s">
        <v>1614</v>
      </c>
      <c r="B712" s="1518" t="s">
        <v>1909</v>
      </c>
      <c r="C712" s="1815" t="s">
        <v>178</v>
      </c>
    </row>
    <row r="713" spans="1:3" ht="18.75">
      <c r="A713" s="1498" t="s">
        <v>1615</v>
      </c>
      <c r="B713" s="1518" t="s">
        <v>1910</v>
      </c>
      <c r="C713" s="1815" t="s">
        <v>178</v>
      </c>
    </row>
    <row r="714" spans="1:3" ht="18.75">
      <c r="A714" s="1498" t="s">
        <v>1616</v>
      </c>
      <c r="B714" s="1518" t="s">
        <v>1911</v>
      </c>
      <c r="C714" s="1815" t="s">
        <v>178</v>
      </c>
    </row>
    <row r="715" spans="1:3" ht="18.75">
      <c r="A715" s="1498" t="s">
        <v>1617</v>
      </c>
      <c r="B715" s="1518" t="s">
        <v>1912</v>
      </c>
      <c r="C715" s="1815" t="s">
        <v>178</v>
      </c>
    </row>
    <row r="716" spans="1:3" ht="18.75">
      <c r="A716" s="1498" t="s">
        <v>1618</v>
      </c>
      <c r="B716" s="1518" t="s">
        <v>1913</v>
      </c>
      <c r="C716" s="1815" t="s">
        <v>178</v>
      </c>
    </row>
    <row r="717" spans="1:3" ht="18.75">
      <c r="A717" s="1498" t="s">
        <v>1619</v>
      </c>
      <c r="B717" s="1518" t="s">
        <v>1914</v>
      </c>
      <c r="C717" s="1815" t="s">
        <v>178</v>
      </c>
    </row>
    <row r="718" spans="1:3" ht="18.75">
      <c r="A718" s="1498" t="s">
        <v>1620</v>
      </c>
      <c r="B718" s="1518" t="s">
        <v>1915</v>
      </c>
      <c r="C718" s="1815" t="s">
        <v>178</v>
      </c>
    </row>
    <row r="719" spans="1:3" ht="18.75">
      <c r="A719" s="1498" t="s">
        <v>1621</v>
      </c>
      <c r="B719" s="1518" t="s">
        <v>1916</v>
      </c>
      <c r="C719" s="1815" t="s">
        <v>178</v>
      </c>
    </row>
    <row r="720" spans="1:3" ht="20.25" thickBot="1">
      <c r="A720" s="1498" t="s">
        <v>1622</v>
      </c>
      <c r="B720" s="1526" t="s">
        <v>1917</v>
      </c>
      <c r="C720" s="1815" t="s">
        <v>178</v>
      </c>
    </row>
    <row r="721" spans="1:3" ht="18.75">
      <c r="A721" s="1498" t="s">
        <v>1623</v>
      </c>
      <c r="B721" s="1517" t="s">
        <v>1918</v>
      </c>
      <c r="C721" s="1815" t="s">
        <v>178</v>
      </c>
    </row>
    <row r="722" spans="1:3" ht="18.75">
      <c r="A722" s="1498" t="s">
        <v>1624</v>
      </c>
      <c r="B722" s="1518" t="s">
        <v>1919</v>
      </c>
      <c r="C722" s="1815" t="s">
        <v>178</v>
      </c>
    </row>
    <row r="723" spans="1:3" ht="18.75">
      <c r="A723" s="1498" t="s">
        <v>1625</v>
      </c>
      <c r="B723" s="1518" t="s">
        <v>1920</v>
      </c>
      <c r="C723" s="1815" t="s">
        <v>178</v>
      </c>
    </row>
    <row r="724" spans="1:3" ht="18.75">
      <c r="A724" s="1498" t="s">
        <v>1626</v>
      </c>
      <c r="B724" s="1518" t="s">
        <v>1921</v>
      </c>
      <c r="C724" s="1815" t="s">
        <v>178</v>
      </c>
    </row>
    <row r="725" spans="1:3" ht="20.25" thickBot="1">
      <c r="A725" s="1498" t="s">
        <v>1627</v>
      </c>
      <c r="B725" s="1526" t="s">
        <v>1922</v>
      </c>
      <c r="C725" s="1815" t="s">
        <v>178</v>
      </c>
    </row>
    <row r="726" spans="1:3" ht="19.5">
      <c r="A726" s="1817"/>
      <c r="B726" s="1818"/>
      <c r="C726" s="1815"/>
    </row>
    <row r="727" spans="1:3">
      <c r="A727" s="1527" t="s">
        <v>780</v>
      </c>
      <c r="B727" s="1527" t="s">
        <v>779</v>
      </c>
      <c r="C727" s="1528" t="s">
        <v>780</v>
      </c>
    </row>
    <row r="728" spans="1:3">
      <c r="A728" s="1819"/>
      <c r="B728" s="1529">
        <v>45688</v>
      </c>
      <c r="C728" s="1819" t="s">
        <v>1628</v>
      </c>
    </row>
    <row r="729" spans="1:3">
      <c r="A729" s="1819"/>
      <c r="B729" s="1529">
        <v>45716</v>
      </c>
      <c r="C729" s="1819" t="s">
        <v>1629</v>
      </c>
    </row>
    <row r="730" spans="1:3">
      <c r="A730" s="1819"/>
      <c r="B730" s="1529">
        <v>45747</v>
      </c>
      <c r="C730" s="1819" t="s">
        <v>1630</v>
      </c>
    </row>
    <row r="731" spans="1:3">
      <c r="A731" s="1819"/>
      <c r="B731" s="1529">
        <v>45777</v>
      </c>
      <c r="C731" s="1819" t="s">
        <v>1631</v>
      </c>
    </row>
    <row r="732" spans="1:3">
      <c r="A732" s="1819"/>
      <c r="B732" s="1529">
        <v>45808</v>
      </c>
      <c r="C732" s="1819" t="s">
        <v>1632</v>
      </c>
    </row>
    <row r="733" spans="1:3">
      <c r="A733" s="1819"/>
      <c r="B733" s="1529">
        <v>45838</v>
      </c>
      <c r="C733" s="1819" t="s">
        <v>1633</v>
      </c>
    </row>
    <row r="734" spans="1:3">
      <c r="A734" s="1819"/>
      <c r="B734" s="1529">
        <v>45869</v>
      </c>
      <c r="C734" s="1819" t="s">
        <v>1634</v>
      </c>
    </row>
    <row r="735" spans="1:3">
      <c r="A735" s="1819"/>
      <c r="B735" s="1529">
        <v>45900</v>
      </c>
      <c r="C735" s="1819" t="s">
        <v>1635</v>
      </c>
    </row>
    <row r="736" spans="1:3">
      <c r="A736" s="1819"/>
      <c r="B736" s="1529">
        <v>45930</v>
      </c>
      <c r="C736" s="1819" t="s">
        <v>1636</v>
      </c>
    </row>
    <row r="737" spans="1:3">
      <c r="A737" s="1819"/>
      <c r="B737" s="1529">
        <v>45961</v>
      </c>
      <c r="C737" s="1819" t="s">
        <v>1637</v>
      </c>
    </row>
    <row r="738" spans="1:3">
      <c r="A738" s="1819"/>
      <c r="B738" s="1529">
        <v>45991</v>
      </c>
      <c r="C738" s="1819" t="s">
        <v>1638</v>
      </c>
    </row>
    <row r="739" spans="1:3">
      <c r="A739" s="1819"/>
      <c r="B739" s="1529">
        <v>46022</v>
      </c>
      <c r="C739" s="1819" t="s">
        <v>1639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266"/>
  <sheetViews>
    <sheetView topLeftCell="A122" zoomScale="75" zoomScaleNormal="75" workbookViewId="0">
      <selection activeCell="I12" sqref="I12:U152"/>
    </sheetView>
  </sheetViews>
  <sheetFormatPr defaultRowHeight="12.75"/>
  <cols>
    <col min="1" max="1" width="10.28515625" style="61" customWidth="1"/>
    <col min="2" max="2" width="9.7109375" style="61" customWidth="1"/>
    <col min="3" max="3" width="18.140625" style="61" customWidth="1"/>
    <col min="4" max="4" width="11.5703125" style="61" customWidth="1"/>
    <col min="5" max="5" width="13.85546875" style="61" customWidth="1"/>
    <col min="6" max="6" width="15.5703125" style="61" customWidth="1"/>
    <col min="7" max="7" width="12.140625" style="61" customWidth="1"/>
    <col min="8" max="8" width="12.7109375" style="61" customWidth="1"/>
    <col min="9" max="9" width="7.140625" style="62" customWidth="1"/>
    <col min="10" max="10" width="13.28515625" style="62" customWidth="1"/>
    <col min="11" max="11" width="90.42578125" style="63" customWidth="1"/>
    <col min="12" max="12" width="16.85546875" style="64" customWidth="1"/>
    <col min="13" max="13" width="23.140625" style="64" customWidth="1"/>
    <col min="14" max="18" width="15" style="64" customWidth="1"/>
    <col min="19" max="19" width="15" style="75" customWidth="1"/>
    <col min="20" max="20" width="2.28515625" style="65" customWidth="1"/>
    <col min="21" max="21" width="3.140625" style="65" customWidth="1"/>
    <col min="22" max="23" width="9.140625" style="65" customWidth="1"/>
    <col min="24" max="16384" width="9.140625" style="65"/>
  </cols>
  <sheetData>
    <row r="1" spans="1:21">
      <c r="A1" s="61" t="s">
        <v>694</v>
      </c>
      <c r="B1" s="61">
        <v>140</v>
      </c>
      <c r="I1" s="61"/>
    </row>
    <row r="2" spans="1:21">
      <c r="A2" s="61" t="s">
        <v>695</v>
      </c>
      <c r="B2" s="61" t="s">
        <v>2191</v>
      </c>
      <c r="I2" s="61"/>
    </row>
    <row r="3" spans="1:21">
      <c r="A3" s="61" t="s">
        <v>696</v>
      </c>
      <c r="B3" s="61" t="s">
        <v>2189</v>
      </c>
      <c r="I3" s="61"/>
    </row>
    <row r="4" spans="1:21" ht="15.75">
      <c r="A4" s="61" t="s">
        <v>697</v>
      </c>
      <c r="B4" s="61" t="s">
        <v>2173</v>
      </c>
      <c r="C4" s="66"/>
      <c r="I4" s="61"/>
    </row>
    <row r="5" spans="1:21" ht="31.5" customHeight="1">
      <c r="A5" s="61" t="s">
        <v>698</v>
      </c>
      <c r="B5" s="78"/>
      <c r="C5" s="78"/>
    </row>
    <row r="6" spans="1:21">
      <c r="A6" s="67"/>
      <c r="B6" s="68"/>
    </row>
    <row r="8" spans="1:21">
      <c r="B8" s="61" t="s">
        <v>2190</v>
      </c>
      <c r="I8" s="61"/>
    </row>
    <row r="9" spans="1:21">
      <c r="I9" s="61"/>
    </row>
    <row r="10" spans="1:21">
      <c r="I10" s="61"/>
    </row>
    <row r="11" spans="1:21" ht="18.75">
      <c r="A11" s="61" t="s">
        <v>777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17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75">
      <c r="A13" s="61">
        <v>2</v>
      </c>
      <c r="I13" s="6"/>
      <c r="J13" s="1353"/>
      <c r="K13" s="1354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7"/>
      <c r="I14" s="1950">
        <f>$B$7</f>
        <v>0</v>
      </c>
      <c r="J14" s="1951"/>
      <c r="K14" s="1951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75">
      <c r="A15" s="61">
        <v>4</v>
      </c>
      <c r="I15" s="228"/>
      <c r="J15" s="391"/>
      <c r="K15" s="400"/>
      <c r="L15" s="406" t="s">
        <v>458</v>
      </c>
      <c r="M15" s="406" t="s">
        <v>820</v>
      </c>
      <c r="N15" s="237"/>
      <c r="O15" s="1350" t="s">
        <v>1235</v>
      </c>
      <c r="P15" s="1351"/>
      <c r="Q15" s="1352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952">
        <f>$B$9</f>
        <v>0</v>
      </c>
      <c r="J16" s="1953"/>
      <c r="K16" s="1954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2018">
        <f>$B$12</f>
        <v>0</v>
      </c>
      <c r="J19" s="2019"/>
      <c r="K19" s="2020"/>
      <c r="L19" s="410" t="s">
        <v>875</v>
      </c>
      <c r="M19" s="1348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49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9.5">
      <c r="A21" s="61">
        <v>10</v>
      </c>
      <c r="I21" s="236"/>
      <c r="J21" s="237"/>
      <c r="K21" s="124" t="s">
        <v>876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5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65" t="s">
        <v>459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699</v>
      </c>
      <c r="L23" s="1994" t="str">
        <f>CONCATENATE("Уточнен план ",$C$3)</f>
        <v xml:space="preserve">Уточнен план </v>
      </c>
      <c r="M23" s="1995"/>
      <c r="N23" s="1995"/>
      <c r="O23" s="1996"/>
      <c r="P23" s="2003" t="str">
        <f>CONCATENATE("Отчет ",$C$3)</f>
        <v xml:space="preserve">Отчет </v>
      </c>
      <c r="Q23" s="2004"/>
      <c r="R23" s="2004"/>
      <c r="S23" s="2005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460</v>
      </c>
      <c r="K24" s="252" t="s">
        <v>700</v>
      </c>
      <c r="L24" s="1391">
        <f>$E$20</f>
        <v>0</v>
      </c>
      <c r="M24" s="1395">
        <f>$F$20</f>
        <v>0</v>
      </c>
      <c r="N24" s="1396">
        <f>$G$20</f>
        <v>0</v>
      </c>
      <c r="O24" s="1397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675">
        <f>$L$20</f>
        <v>0</v>
      </c>
      <c r="T24" s="7" t="str">
        <f>(IF($E148&lt;&gt;0,$M$2,IF($L148&lt;&gt;0,$M$2,"")))</f>
        <v/>
      </c>
      <c r="U24" s="8"/>
    </row>
    <row r="25" spans="1:21" ht="18.75">
      <c r="A25" s="61">
        <v>14</v>
      </c>
      <c r="I25" s="258"/>
      <c r="J25" s="259"/>
      <c r="K25" s="260" t="s">
        <v>729</v>
      </c>
      <c r="L25" s="1442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(IF($E148&lt;&gt;0,$M$2,IF($L148&lt;&gt;0,$M$2,"")))</f>
        <v/>
      </c>
      <c r="U25" s="8"/>
    </row>
    <row r="26" spans="1:21" ht="15.75">
      <c r="A26" s="61">
        <v>15</v>
      </c>
      <c r="I26" s="1439"/>
      <c r="J26" s="1540" t="e">
        <f>VLOOKUP(K26,OP_LIST2,2,FALSE)</f>
        <v>#N/A</v>
      </c>
      <c r="K26" s="1445"/>
      <c r="L26" s="389"/>
      <c r="M26" s="1429"/>
      <c r="N26" s="1430"/>
      <c r="O26" s="1431"/>
      <c r="P26" s="1429"/>
      <c r="Q26" s="1430"/>
      <c r="R26" s="1431"/>
      <c r="S26" s="1428"/>
      <c r="T26" s="7" t="str">
        <f>(IF($E148&lt;&gt;0,$M$2,IF($L148&lt;&gt;0,$M$2,"")))</f>
        <v/>
      </c>
      <c r="U26" s="8"/>
    </row>
    <row r="27" spans="1:21" ht="15.75">
      <c r="A27" s="61">
        <v>16</v>
      </c>
      <c r="I27" s="1713" t="s">
        <v>2056</v>
      </c>
      <c r="J27" s="1446">
        <f>VLOOKUP(K28,EBK_DEIN2,2,FALSE)</f>
        <v>0</v>
      </c>
      <c r="K27" s="1445" t="s">
        <v>778</v>
      </c>
      <c r="L27" s="389"/>
      <c r="M27" s="1432"/>
      <c r="N27" s="1433"/>
      <c r="O27" s="1434"/>
      <c r="P27" s="1432"/>
      <c r="Q27" s="1433"/>
      <c r="R27" s="1434"/>
      <c r="S27" s="1428"/>
      <c r="T27" s="7" t="str">
        <f>(IF($E148&lt;&gt;0,$M$2,IF($L148&lt;&gt;0,$M$2,"")))</f>
        <v/>
      </c>
      <c r="U27" s="8"/>
    </row>
    <row r="28" spans="1:21" ht="15.75">
      <c r="A28" s="61">
        <v>17</v>
      </c>
      <c r="I28" s="1438"/>
      <c r="J28" s="1531">
        <f>+J27</f>
        <v>0</v>
      </c>
      <c r="K28" s="1440" t="s">
        <v>370</v>
      </c>
      <c r="L28" s="389"/>
      <c r="M28" s="1432"/>
      <c r="N28" s="1433"/>
      <c r="O28" s="1434"/>
      <c r="P28" s="1432"/>
      <c r="Q28" s="1433"/>
      <c r="R28" s="1434"/>
      <c r="S28" s="1428"/>
      <c r="T28" s="7" t="str">
        <f>(IF($E148&lt;&gt;0,$M$2,IF($L148&lt;&gt;0,$M$2,"")))</f>
        <v/>
      </c>
      <c r="U28" s="8"/>
    </row>
    <row r="29" spans="1:21" ht="15.75">
      <c r="A29" s="61">
        <v>18</v>
      </c>
      <c r="I29" s="1443"/>
      <c r="J29" s="1441"/>
      <c r="K29" s="1444" t="s">
        <v>701</v>
      </c>
      <c r="L29" s="389"/>
      <c r="M29" s="1435"/>
      <c r="N29" s="1436"/>
      <c r="O29" s="1437"/>
      <c r="P29" s="1435"/>
      <c r="Q29" s="1436"/>
      <c r="R29" s="1437"/>
      <c r="S29" s="1428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2">
        <v>100</v>
      </c>
      <c r="J30" s="1983" t="s">
        <v>730</v>
      </c>
      <c r="K30" s="1984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731</v>
      </c>
      <c r="L31" s="281">
        <f>M31+N31+O31</f>
        <v>0</v>
      </c>
      <c r="M31" s="152"/>
      <c r="N31" s="153"/>
      <c r="O31" s="1406"/>
      <c r="P31" s="152"/>
      <c r="Q31" s="153"/>
      <c r="R31" s="1406"/>
      <c r="S31" s="281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732</v>
      </c>
      <c r="L32" s="287">
        <f>M32+N32+O32</f>
        <v>0</v>
      </c>
      <c r="M32" s="173"/>
      <c r="N32" s="174"/>
      <c r="O32" s="1409"/>
      <c r="P32" s="173"/>
      <c r="Q32" s="174"/>
      <c r="R32" s="1409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979" t="s">
        <v>733</v>
      </c>
      <c r="K33" s="1980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1"/>
      <c r="J34" s="279">
        <v>201</v>
      </c>
      <c r="K34" s="280" t="s">
        <v>734</v>
      </c>
      <c r="L34" s="281">
        <f>M34+N34+O34</f>
        <v>0</v>
      </c>
      <c r="M34" s="152"/>
      <c r="N34" s="153"/>
      <c r="O34" s="1406"/>
      <c r="P34" s="152"/>
      <c r="Q34" s="153"/>
      <c r="R34" s="1406"/>
      <c r="S34" s="281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2"/>
      <c r="J35" s="293">
        <v>202</v>
      </c>
      <c r="K35" s="294" t="s">
        <v>735</v>
      </c>
      <c r="L35" s="295">
        <f>M35+N35+O35</f>
        <v>0</v>
      </c>
      <c r="M35" s="158"/>
      <c r="N35" s="159"/>
      <c r="O35" s="1408"/>
      <c r="P35" s="158"/>
      <c r="Q35" s="159"/>
      <c r="R35" s="1408"/>
      <c r="S35" s="295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9"/>
      <c r="J36" s="293">
        <v>205</v>
      </c>
      <c r="K36" s="294" t="s">
        <v>586</v>
      </c>
      <c r="L36" s="295">
        <f>M36+N36+O36</f>
        <v>0</v>
      </c>
      <c r="M36" s="158"/>
      <c r="N36" s="159"/>
      <c r="O36" s="1408"/>
      <c r="P36" s="158"/>
      <c r="Q36" s="159"/>
      <c r="R36" s="1408"/>
      <c r="S36" s="295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9"/>
      <c r="J37" s="293">
        <v>208</v>
      </c>
      <c r="K37" s="300" t="s">
        <v>587</v>
      </c>
      <c r="L37" s="295">
        <f>M37+N37+O37</f>
        <v>0</v>
      </c>
      <c r="M37" s="158"/>
      <c r="N37" s="159"/>
      <c r="O37" s="1408"/>
      <c r="P37" s="158"/>
      <c r="Q37" s="159"/>
      <c r="R37" s="1408"/>
      <c r="S37" s="295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1"/>
      <c r="J38" s="285">
        <v>209</v>
      </c>
      <c r="K38" s="301" t="s">
        <v>588</v>
      </c>
      <c r="L38" s="287">
        <f>M38+N38+O38</f>
        <v>0</v>
      </c>
      <c r="M38" s="173"/>
      <c r="N38" s="174"/>
      <c r="O38" s="1409"/>
      <c r="P38" s="173"/>
      <c r="Q38" s="174"/>
      <c r="R38" s="1409"/>
      <c r="S38" s="287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2">
        <v>500</v>
      </c>
      <c r="J39" s="1981" t="s">
        <v>188</v>
      </c>
      <c r="K39" s="1982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31.5">
      <c r="A40" s="61">
        <v>29</v>
      </c>
      <c r="I40" s="291"/>
      <c r="J40" s="302">
        <v>551</v>
      </c>
      <c r="K40" s="303" t="s">
        <v>189</v>
      </c>
      <c r="L40" s="281">
        <f t="shared" ref="L40:L47" si="4">M40+N40+O40</f>
        <v>0</v>
      </c>
      <c r="M40" s="152"/>
      <c r="N40" s="153"/>
      <c r="O40" s="1406"/>
      <c r="P40" s="152"/>
      <c r="Q40" s="153"/>
      <c r="R40" s="1406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894</v>
      </c>
      <c r="L41" s="295">
        <f t="shared" si="4"/>
        <v>0</v>
      </c>
      <c r="M41" s="158"/>
      <c r="N41" s="159"/>
      <c r="O41" s="1408"/>
      <c r="P41" s="158"/>
      <c r="Q41" s="159"/>
      <c r="R41" s="1408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856</v>
      </c>
      <c r="L42" s="295">
        <f>M42+N42+O42</f>
        <v>0</v>
      </c>
      <c r="M42" s="484">
        <v>0</v>
      </c>
      <c r="N42" s="485">
        <v>0</v>
      </c>
      <c r="O42" s="160">
        <v>0</v>
      </c>
      <c r="P42" s="484">
        <v>0</v>
      </c>
      <c r="Q42" s="485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190</v>
      </c>
      <c r="L43" s="295">
        <f t="shared" si="4"/>
        <v>0</v>
      </c>
      <c r="M43" s="158"/>
      <c r="N43" s="159"/>
      <c r="O43" s="1408"/>
      <c r="P43" s="158"/>
      <c r="Q43" s="159"/>
      <c r="R43" s="1408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191</v>
      </c>
      <c r="L44" s="295">
        <f t="shared" si="4"/>
        <v>0</v>
      </c>
      <c r="M44" s="158"/>
      <c r="N44" s="159"/>
      <c r="O44" s="1408"/>
      <c r="P44" s="158"/>
      <c r="Q44" s="159"/>
      <c r="R44" s="1408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858</v>
      </c>
      <c r="L45" s="295">
        <f>M45+N45+O45</f>
        <v>0</v>
      </c>
      <c r="M45" s="484">
        <v>0</v>
      </c>
      <c r="N45" s="485">
        <v>0</v>
      </c>
      <c r="O45" s="160">
        <v>0</v>
      </c>
      <c r="P45" s="484">
        <v>0</v>
      </c>
      <c r="Q45" s="485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1"/>
      <c r="J46" s="308">
        <v>590</v>
      </c>
      <c r="K46" s="309" t="s">
        <v>192</v>
      </c>
      <c r="L46" s="287">
        <f t="shared" si="4"/>
        <v>0</v>
      </c>
      <c r="M46" s="173"/>
      <c r="N46" s="174"/>
      <c r="O46" s="1409"/>
      <c r="P46" s="173"/>
      <c r="Q46" s="174"/>
      <c r="R46" s="1409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977" t="s">
        <v>193</v>
      </c>
      <c r="K47" s="1978"/>
      <c r="L47" s="310">
        <f t="shared" si="4"/>
        <v>0</v>
      </c>
      <c r="M47" s="1410"/>
      <c r="N47" s="1411"/>
      <c r="O47" s="1412"/>
      <c r="P47" s="1410"/>
      <c r="Q47" s="1411"/>
      <c r="R47" s="1412"/>
      <c r="S47" s="310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2">
        <v>1000</v>
      </c>
      <c r="J48" s="1979" t="s">
        <v>194</v>
      </c>
      <c r="K48" s="1980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195</v>
      </c>
      <c r="L49" s="281">
        <f t="shared" ref="L49:L65" si="7">M49+N49+O49</f>
        <v>0</v>
      </c>
      <c r="M49" s="152"/>
      <c r="N49" s="153"/>
      <c r="O49" s="1406"/>
      <c r="P49" s="152"/>
      <c r="Q49" s="153"/>
      <c r="R49" s="1406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196</v>
      </c>
      <c r="L50" s="295">
        <f t="shared" si="7"/>
        <v>0</v>
      </c>
      <c r="M50" s="158"/>
      <c r="N50" s="159"/>
      <c r="O50" s="1408"/>
      <c r="P50" s="158"/>
      <c r="Q50" s="159"/>
      <c r="R50" s="1408"/>
      <c r="S50" s="295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2"/>
      <c r="J51" s="293">
        <v>1013</v>
      </c>
      <c r="K51" s="294" t="s">
        <v>197</v>
      </c>
      <c r="L51" s="295">
        <f t="shared" si="7"/>
        <v>0</v>
      </c>
      <c r="M51" s="158"/>
      <c r="N51" s="159"/>
      <c r="O51" s="1408"/>
      <c r="P51" s="158"/>
      <c r="Q51" s="159"/>
      <c r="R51" s="1408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198</v>
      </c>
      <c r="L52" s="295">
        <f t="shared" si="7"/>
        <v>0</v>
      </c>
      <c r="M52" s="158"/>
      <c r="N52" s="159"/>
      <c r="O52" s="1408"/>
      <c r="P52" s="158"/>
      <c r="Q52" s="159"/>
      <c r="R52" s="1408"/>
      <c r="S52" s="295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2"/>
      <c r="J53" s="293">
        <v>1015</v>
      </c>
      <c r="K53" s="294" t="s">
        <v>199</v>
      </c>
      <c r="L53" s="295">
        <f t="shared" si="7"/>
        <v>0</v>
      </c>
      <c r="M53" s="158"/>
      <c r="N53" s="159"/>
      <c r="O53" s="1408"/>
      <c r="P53" s="158"/>
      <c r="Q53" s="159"/>
      <c r="R53" s="1408"/>
      <c r="S53" s="295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2"/>
      <c r="J54" s="312">
        <v>1016</v>
      </c>
      <c r="K54" s="313" t="s">
        <v>200</v>
      </c>
      <c r="L54" s="314">
        <f t="shared" si="7"/>
        <v>0</v>
      </c>
      <c r="M54" s="164"/>
      <c r="N54" s="165"/>
      <c r="O54" s="1407"/>
      <c r="P54" s="164"/>
      <c r="Q54" s="165"/>
      <c r="R54" s="1407"/>
      <c r="S54" s="314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8"/>
      <c r="J55" s="318">
        <v>1020</v>
      </c>
      <c r="K55" s="319" t="s">
        <v>201</v>
      </c>
      <c r="L55" s="320">
        <f t="shared" si="7"/>
        <v>0</v>
      </c>
      <c r="M55" s="450"/>
      <c r="N55" s="451"/>
      <c r="O55" s="1416"/>
      <c r="P55" s="450"/>
      <c r="Q55" s="451"/>
      <c r="R55" s="1416"/>
      <c r="S55" s="320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2"/>
      <c r="J56" s="324">
        <v>1030</v>
      </c>
      <c r="K56" s="325" t="s">
        <v>202</v>
      </c>
      <c r="L56" s="326">
        <f t="shared" si="7"/>
        <v>0</v>
      </c>
      <c r="M56" s="445"/>
      <c r="N56" s="446"/>
      <c r="O56" s="1413"/>
      <c r="P56" s="445"/>
      <c r="Q56" s="446"/>
      <c r="R56" s="1413"/>
      <c r="S56" s="326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2"/>
      <c r="J57" s="318">
        <v>1051</v>
      </c>
      <c r="K57" s="331" t="s">
        <v>203</v>
      </c>
      <c r="L57" s="320">
        <f t="shared" si="7"/>
        <v>0</v>
      </c>
      <c r="M57" s="450"/>
      <c r="N57" s="451"/>
      <c r="O57" s="1416"/>
      <c r="P57" s="450"/>
      <c r="Q57" s="451"/>
      <c r="R57" s="1416"/>
      <c r="S57" s="320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2"/>
      <c r="J58" s="293">
        <v>1052</v>
      </c>
      <c r="K58" s="294" t="s">
        <v>204</v>
      </c>
      <c r="L58" s="295">
        <f t="shared" si="7"/>
        <v>0</v>
      </c>
      <c r="M58" s="158"/>
      <c r="N58" s="159"/>
      <c r="O58" s="1408"/>
      <c r="P58" s="158"/>
      <c r="Q58" s="159"/>
      <c r="R58" s="1408"/>
      <c r="S58" s="295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2"/>
      <c r="J59" s="324">
        <v>1053</v>
      </c>
      <c r="K59" s="325" t="s">
        <v>859</v>
      </c>
      <c r="L59" s="326">
        <f t="shared" si="7"/>
        <v>0</v>
      </c>
      <c r="M59" s="445"/>
      <c r="N59" s="446"/>
      <c r="O59" s="1413"/>
      <c r="P59" s="445"/>
      <c r="Q59" s="446"/>
      <c r="R59" s="1413"/>
      <c r="S59" s="326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2"/>
      <c r="J60" s="318">
        <v>1062</v>
      </c>
      <c r="K60" s="319" t="s">
        <v>205</v>
      </c>
      <c r="L60" s="320">
        <f t="shared" si="7"/>
        <v>0</v>
      </c>
      <c r="M60" s="450"/>
      <c r="N60" s="451"/>
      <c r="O60" s="1416"/>
      <c r="P60" s="450"/>
      <c r="Q60" s="451"/>
      <c r="R60" s="1416"/>
      <c r="S60" s="320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2"/>
      <c r="J61" s="324">
        <v>1063</v>
      </c>
      <c r="K61" s="332" t="s">
        <v>787</v>
      </c>
      <c r="L61" s="326">
        <f t="shared" si="7"/>
        <v>0</v>
      </c>
      <c r="M61" s="445"/>
      <c r="N61" s="446"/>
      <c r="O61" s="1413"/>
      <c r="P61" s="445"/>
      <c r="Q61" s="446"/>
      <c r="R61" s="1413"/>
      <c r="S61" s="326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2"/>
      <c r="J62" s="333">
        <v>1069</v>
      </c>
      <c r="K62" s="334" t="s">
        <v>206</v>
      </c>
      <c r="L62" s="335">
        <f t="shared" si="7"/>
        <v>0</v>
      </c>
      <c r="M62" s="589"/>
      <c r="N62" s="590"/>
      <c r="O62" s="1415"/>
      <c r="P62" s="589"/>
      <c r="Q62" s="590"/>
      <c r="R62" s="1415"/>
      <c r="S62" s="335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8"/>
      <c r="J63" s="318">
        <v>1091</v>
      </c>
      <c r="K63" s="331" t="s">
        <v>895</v>
      </c>
      <c r="L63" s="320">
        <f t="shared" si="7"/>
        <v>0</v>
      </c>
      <c r="M63" s="450"/>
      <c r="N63" s="451"/>
      <c r="O63" s="1416"/>
      <c r="P63" s="450"/>
      <c r="Q63" s="451"/>
      <c r="R63" s="1416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299</v>
      </c>
      <c r="L64" s="295">
        <f t="shared" si="7"/>
        <v>0</v>
      </c>
      <c r="M64" s="158"/>
      <c r="N64" s="159"/>
      <c r="O64" s="1408"/>
      <c r="P64" s="158"/>
      <c r="Q64" s="159"/>
      <c r="R64" s="1408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207</v>
      </c>
      <c r="L65" s="287">
        <f t="shared" si="7"/>
        <v>0</v>
      </c>
      <c r="M65" s="173"/>
      <c r="N65" s="174"/>
      <c r="O65" s="1409"/>
      <c r="P65" s="173"/>
      <c r="Q65" s="174"/>
      <c r="R65" s="1409"/>
      <c r="S65" s="287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2">
        <v>1900</v>
      </c>
      <c r="J66" s="1973" t="s">
        <v>266</v>
      </c>
      <c r="K66" s="1974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896</v>
      </c>
      <c r="L67" s="281">
        <f>M67+N67+O67</f>
        <v>0</v>
      </c>
      <c r="M67" s="152"/>
      <c r="N67" s="153"/>
      <c r="O67" s="1406"/>
      <c r="P67" s="152"/>
      <c r="Q67" s="153"/>
      <c r="R67" s="1406"/>
      <c r="S67" s="281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1"/>
      <c r="J68" s="293">
        <v>1981</v>
      </c>
      <c r="K68" s="342" t="s">
        <v>897</v>
      </c>
      <c r="L68" s="295">
        <f>M68+N68+O68</f>
        <v>0</v>
      </c>
      <c r="M68" s="158"/>
      <c r="N68" s="159"/>
      <c r="O68" s="1408"/>
      <c r="P68" s="158"/>
      <c r="Q68" s="159"/>
      <c r="R68" s="1408"/>
      <c r="S68" s="295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2"/>
      <c r="J69" s="285">
        <v>1991</v>
      </c>
      <c r="K69" s="343" t="s">
        <v>898</v>
      </c>
      <c r="L69" s="287">
        <f>M69+N69+O69</f>
        <v>0</v>
      </c>
      <c r="M69" s="173"/>
      <c r="N69" s="174"/>
      <c r="O69" s="1409"/>
      <c r="P69" s="173"/>
      <c r="Q69" s="174"/>
      <c r="R69" s="1409"/>
      <c r="S69" s="287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2">
        <v>2100</v>
      </c>
      <c r="J70" s="1973" t="s">
        <v>708</v>
      </c>
      <c r="K70" s="1974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2"/>
      <c r="J71" s="279">
        <v>2110</v>
      </c>
      <c r="K71" s="344" t="s">
        <v>208</v>
      </c>
      <c r="L71" s="281">
        <f>M71+N71+O71</f>
        <v>0</v>
      </c>
      <c r="M71" s="152"/>
      <c r="N71" s="153"/>
      <c r="O71" s="1406"/>
      <c r="P71" s="152"/>
      <c r="Q71" s="153"/>
      <c r="R71" s="1406"/>
      <c r="S71" s="281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1"/>
      <c r="J72" s="293">
        <v>2120</v>
      </c>
      <c r="K72" s="300" t="s">
        <v>209</v>
      </c>
      <c r="L72" s="295">
        <f>M72+N72+O72</f>
        <v>0</v>
      </c>
      <c r="M72" s="158"/>
      <c r="N72" s="159"/>
      <c r="O72" s="1408"/>
      <c r="P72" s="158"/>
      <c r="Q72" s="159"/>
      <c r="R72" s="1408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210</v>
      </c>
      <c r="L73" s="295">
        <f>M73+N73+O73</f>
        <v>0</v>
      </c>
      <c r="M73" s="484">
        <v>0</v>
      </c>
      <c r="N73" s="485">
        <v>0</v>
      </c>
      <c r="O73" s="160">
        <v>0</v>
      </c>
      <c r="P73" s="484">
        <v>0</v>
      </c>
      <c r="Q73" s="485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211</v>
      </c>
      <c r="L74" s="295">
        <f>M74+N74+O74</f>
        <v>0</v>
      </c>
      <c r="M74" s="484">
        <v>0</v>
      </c>
      <c r="N74" s="485">
        <v>0</v>
      </c>
      <c r="O74" s="160">
        <v>0</v>
      </c>
      <c r="P74" s="484">
        <v>0</v>
      </c>
      <c r="Q74" s="485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212</v>
      </c>
      <c r="L75" s="287">
        <f>M75+N75+O75</f>
        <v>0</v>
      </c>
      <c r="M75" s="173"/>
      <c r="N75" s="174"/>
      <c r="O75" s="1409"/>
      <c r="P75" s="173"/>
      <c r="Q75" s="174"/>
      <c r="R75" s="1409"/>
      <c r="S75" s="287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2">
        <v>2200</v>
      </c>
      <c r="J76" s="1973" t="s">
        <v>213</v>
      </c>
      <c r="K76" s="1974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2"/>
      <c r="J77" s="279">
        <v>2221</v>
      </c>
      <c r="K77" s="280" t="s">
        <v>300</v>
      </c>
      <c r="L77" s="281">
        <f>M77+N77+O77</f>
        <v>0</v>
      </c>
      <c r="M77" s="152"/>
      <c r="N77" s="153"/>
      <c r="O77" s="1406"/>
      <c r="P77" s="152"/>
      <c r="Q77" s="153"/>
      <c r="R77" s="1406"/>
      <c r="S77" s="281">
        <f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2"/>
      <c r="J78" s="285">
        <v>2224</v>
      </c>
      <c r="K78" s="286" t="s">
        <v>214</v>
      </c>
      <c r="L78" s="287">
        <f>M78+N78+O78</f>
        <v>0</v>
      </c>
      <c r="M78" s="173"/>
      <c r="N78" s="174"/>
      <c r="O78" s="1409"/>
      <c r="P78" s="173"/>
      <c r="Q78" s="174"/>
      <c r="R78" s="1409"/>
      <c r="S78" s="287">
        <f>P78+Q78+R78</f>
        <v>0</v>
      </c>
      <c r="T78" s="12" t="str">
        <f t="shared" si="1"/>
        <v/>
      </c>
      <c r="U78" s="13"/>
    </row>
    <row r="79" spans="1:21" ht="15.75">
      <c r="A79" s="61">
        <v>66</v>
      </c>
      <c r="I79" s="272">
        <v>2500</v>
      </c>
      <c r="J79" s="1973" t="s">
        <v>215</v>
      </c>
      <c r="K79" s="1974"/>
      <c r="L79" s="310">
        <f>M79+N79+O79</f>
        <v>0</v>
      </c>
      <c r="M79" s="1410"/>
      <c r="N79" s="1411"/>
      <c r="O79" s="1412"/>
      <c r="P79" s="1410"/>
      <c r="Q79" s="1411"/>
      <c r="R79" s="1412"/>
      <c r="S79" s="310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975" t="s">
        <v>216</v>
      </c>
      <c r="K80" s="1976"/>
      <c r="L80" s="310">
        <f>M80+N80+O80</f>
        <v>0</v>
      </c>
      <c r="M80" s="1410"/>
      <c r="N80" s="1411"/>
      <c r="O80" s="1412"/>
      <c r="P80" s="1410"/>
      <c r="Q80" s="1411"/>
      <c r="R80" s="1412"/>
      <c r="S80" s="310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975" t="s">
        <v>217</v>
      </c>
      <c r="K81" s="1976"/>
      <c r="L81" s="310">
        <f>M81+N81+O81</f>
        <v>0</v>
      </c>
      <c r="M81" s="1410"/>
      <c r="N81" s="1411"/>
      <c r="O81" s="1412"/>
      <c r="P81" s="1410"/>
      <c r="Q81" s="1411"/>
      <c r="R81" s="1412"/>
      <c r="S81" s="310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975" t="s">
        <v>1644</v>
      </c>
      <c r="K82" s="1976"/>
      <c r="L82" s="310">
        <f t="shared" ref="L82:S82" si="12">SUM(L83:L85)</f>
        <v>0</v>
      </c>
      <c r="M82" s="274">
        <f t="shared" si="12"/>
        <v>0</v>
      </c>
      <c r="N82" s="275">
        <f t="shared" si="12"/>
        <v>0</v>
      </c>
      <c r="O82" s="276">
        <f>SUM(O83:O85)</f>
        <v>0</v>
      </c>
      <c r="P82" s="274">
        <f t="shared" si="12"/>
        <v>0</v>
      </c>
      <c r="Q82" s="275">
        <f t="shared" si="12"/>
        <v>0</v>
      </c>
      <c r="R82" s="276">
        <f t="shared" si="12"/>
        <v>0</v>
      </c>
      <c r="S82" s="310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2"/>
      <c r="J83" s="279">
        <v>2810</v>
      </c>
      <c r="K83" s="340" t="s">
        <v>2169</v>
      </c>
      <c r="L83" s="281">
        <f>M83+N83+O83</f>
        <v>0</v>
      </c>
      <c r="M83" s="152"/>
      <c r="N83" s="153"/>
      <c r="O83" s="1406"/>
      <c r="P83" s="152"/>
      <c r="Q83" s="153"/>
      <c r="R83" s="1406"/>
      <c r="S83" s="281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1"/>
      <c r="J84" s="293">
        <v>2820</v>
      </c>
      <c r="K84" s="342" t="s">
        <v>2170</v>
      </c>
      <c r="L84" s="295">
        <f>M84+N84+O84</f>
        <v>0</v>
      </c>
      <c r="M84" s="158"/>
      <c r="N84" s="159"/>
      <c r="O84" s="1408"/>
      <c r="P84" s="158"/>
      <c r="Q84" s="159"/>
      <c r="R84" s="1408"/>
      <c r="S84" s="295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2"/>
      <c r="J85" s="285">
        <v>2890</v>
      </c>
      <c r="K85" s="343" t="s">
        <v>2171</v>
      </c>
      <c r="L85" s="287">
        <f>M85+N85+O85</f>
        <v>0</v>
      </c>
      <c r="M85" s="173"/>
      <c r="N85" s="174"/>
      <c r="O85" s="1409"/>
      <c r="P85" s="173"/>
      <c r="Q85" s="174"/>
      <c r="R85" s="1409"/>
      <c r="S85" s="287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2">
        <v>2900</v>
      </c>
      <c r="J86" s="1973" t="s">
        <v>218</v>
      </c>
      <c r="K86" s="1974"/>
      <c r="L86" s="310">
        <f>SUM(L87:L94)</f>
        <v>0</v>
      </c>
      <c r="M86" s="274">
        <f>SUM(M87:M94)</f>
        <v>0</v>
      </c>
      <c r="N86" s="274">
        <f t="shared" ref="N86:S86" si="13">SUM(N87:N94)</f>
        <v>0</v>
      </c>
      <c r="O86" s="274">
        <f t="shared" si="13"/>
        <v>0</v>
      </c>
      <c r="P86" s="274">
        <f t="shared" si="13"/>
        <v>0</v>
      </c>
      <c r="Q86" s="274">
        <f t="shared" si="13"/>
        <v>0</v>
      </c>
      <c r="R86" s="274">
        <f t="shared" si="13"/>
        <v>0</v>
      </c>
      <c r="S86" s="274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279">
        <v>2910</v>
      </c>
      <c r="K87" s="347" t="s">
        <v>1988</v>
      </c>
      <c r="L87" s="281">
        <f>M87+N87+O87</f>
        <v>0</v>
      </c>
      <c r="M87" s="152"/>
      <c r="N87" s="153"/>
      <c r="O87" s="1406"/>
      <c r="P87" s="152"/>
      <c r="Q87" s="153"/>
      <c r="R87" s="1406"/>
      <c r="S87" s="281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279">
        <v>2920</v>
      </c>
      <c r="K88" s="347" t="s">
        <v>219</v>
      </c>
      <c r="L88" s="281">
        <f t="shared" ref="L88:L94" si="14">M88+N88+O88</f>
        <v>0</v>
      </c>
      <c r="M88" s="152"/>
      <c r="N88" s="153"/>
      <c r="O88" s="1406"/>
      <c r="P88" s="152"/>
      <c r="Q88" s="153"/>
      <c r="R88" s="1406"/>
      <c r="S88" s="281">
        <f t="shared" ref="S88:S94" si="15">P88+Q88+R88</f>
        <v>0</v>
      </c>
      <c r="T88" s="12" t="str">
        <f t="shared" si="1"/>
        <v/>
      </c>
      <c r="U88" s="13"/>
    </row>
    <row r="89" spans="1:21" ht="31.5">
      <c r="A89" s="61">
        <v>75</v>
      </c>
      <c r="I89" s="346"/>
      <c r="J89" s="324">
        <v>2969</v>
      </c>
      <c r="K89" s="348" t="s">
        <v>220</v>
      </c>
      <c r="L89" s="326">
        <f t="shared" si="14"/>
        <v>0</v>
      </c>
      <c r="M89" s="445"/>
      <c r="N89" s="446"/>
      <c r="O89" s="1413"/>
      <c r="P89" s="445"/>
      <c r="Q89" s="446"/>
      <c r="R89" s="1413"/>
      <c r="S89" s="326">
        <f t="shared" si="15"/>
        <v>0</v>
      </c>
      <c r="T89" s="12" t="str">
        <f t="shared" si="1"/>
        <v/>
      </c>
      <c r="U89" s="13"/>
    </row>
    <row r="90" spans="1:21" ht="31.5">
      <c r="A90" s="61">
        <v>75</v>
      </c>
      <c r="I90" s="346"/>
      <c r="J90" s="349">
        <v>2970</v>
      </c>
      <c r="K90" s="350" t="s">
        <v>221</v>
      </c>
      <c r="L90" s="351">
        <f t="shared" si="14"/>
        <v>0</v>
      </c>
      <c r="M90" s="624"/>
      <c r="N90" s="625"/>
      <c r="O90" s="1414"/>
      <c r="P90" s="624"/>
      <c r="Q90" s="625"/>
      <c r="R90" s="1414"/>
      <c r="S90" s="351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6"/>
      <c r="J91" s="333">
        <v>2989</v>
      </c>
      <c r="K91" s="355" t="s">
        <v>222</v>
      </c>
      <c r="L91" s="335">
        <f t="shared" si="14"/>
        <v>0</v>
      </c>
      <c r="M91" s="589"/>
      <c r="N91" s="590"/>
      <c r="O91" s="1415"/>
      <c r="P91" s="589"/>
      <c r="Q91" s="590"/>
      <c r="R91" s="1415"/>
      <c r="S91" s="335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2"/>
      <c r="J92" s="318">
        <v>2990</v>
      </c>
      <c r="K92" s="356" t="s">
        <v>2007</v>
      </c>
      <c r="L92" s="320">
        <f>M92+N92+O92</f>
        <v>0</v>
      </c>
      <c r="M92" s="450"/>
      <c r="N92" s="451"/>
      <c r="O92" s="1416"/>
      <c r="P92" s="450"/>
      <c r="Q92" s="451"/>
      <c r="R92" s="1416"/>
      <c r="S92" s="320">
        <f>P92+Q92+R92</f>
        <v>0</v>
      </c>
      <c r="T92" s="12" t="str">
        <f t="shared" si="1"/>
        <v/>
      </c>
      <c r="U92" s="13"/>
    </row>
    <row r="93" spans="1:21" ht="15.75">
      <c r="A93" s="61">
        <v>78</v>
      </c>
      <c r="I93" s="292"/>
      <c r="J93" s="318">
        <v>2991</v>
      </c>
      <c r="K93" s="356" t="s">
        <v>223</v>
      </c>
      <c r="L93" s="320">
        <f t="shared" si="14"/>
        <v>0</v>
      </c>
      <c r="M93" s="450"/>
      <c r="N93" s="451"/>
      <c r="O93" s="1416"/>
      <c r="P93" s="450"/>
      <c r="Q93" s="451"/>
      <c r="R93" s="1416"/>
      <c r="S93" s="320">
        <f t="shared" si="15"/>
        <v>0</v>
      </c>
      <c r="T93" s="12" t="str">
        <f t="shared" si="1"/>
        <v/>
      </c>
      <c r="U93" s="13"/>
    </row>
    <row r="94" spans="1:21" ht="15.75">
      <c r="A94" s="61">
        <v>79</v>
      </c>
      <c r="I94" s="292"/>
      <c r="J94" s="285">
        <v>2992</v>
      </c>
      <c r="K94" s="357" t="s">
        <v>224</v>
      </c>
      <c r="L94" s="287">
        <f t="shared" si="14"/>
        <v>0</v>
      </c>
      <c r="M94" s="173"/>
      <c r="N94" s="174"/>
      <c r="O94" s="1409"/>
      <c r="P94" s="173"/>
      <c r="Q94" s="174"/>
      <c r="R94" s="1409"/>
      <c r="S94" s="287">
        <f t="shared" si="15"/>
        <v>0</v>
      </c>
      <c r="T94" s="12" t="str">
        <f t="shared" si="1"/>
        <v/>
      </c>
      <c r="U94" s="13"/>
    </row>
    <row r="95" spans="1:21" ht="15.75">
      <c r="A95" s="61">
        <v>80</v>
      </c>
      <c r="I95" s="272">
        <v>3300</v>
      </c>
      <c r="J95" s="358" t="s">
        <v>2038</v>
      </c>
      <c r="K95" s="1468"/>
      <c r="L95" s="310">
        <f t="shared" ref="L95:S95" si="16">SUM(L96:L100)</f>
        <v>0</v>
      </c>
      <c r="M95" s="274">
        <f t="shared" si="16"/>
        <v>0</v>
      </c>
      <c r="N95" s="275">
        <f t="shared" si="16"/>
        <v>0</v>
      </c>
      <c r="O95" s="276">
        <f t="shared" si="16"/>
        <v>0</v>
      </c>
      <c r="P95" s="274">
        <f t="shared" si="16"/>
        <v>0</v>
      </c>
      <c r="Q95" s="275">
        <f t="shared" si="16"/>
        <v>0</v>
      </c>
      <c r="R95" s="276">
        <f t="shared" si="16"/>
        <v>0</v>
      </c>
      <c r="S95" s="310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75">
      <c r="A96" s="61">
        <v>81</v>
      </c>
      <c r="I96" s="291"/>
      <c r="J96" s="279">
        <v>3301</v>
      </c>
      <c r="K96" s="359" t="s">
        <v>225</v>
      </c>
      <c r="L96" s="281">
        <f t="shared" ref="L96:L103" si="18">M96+N96+O96</f>
        <v>0</v>
      </c>
      <c r="M96" s="482">
        <v>0</v>
      </c>
      <c r="N96" s="483">
        <v>0</v>
      </c>
      <c r="O96" s="154">
        <v>0</v>
      </c>
      <c r="P96" s="482">
        <v>0</v>
      </c>
      <c r="Q96" s="483">
        <v>0</v>
      </c>
      <c r="R96" s="154">
        <v>0</v>
      </c>
      <c r="S96" s="281">
        <f t="shared" ref="S96:S103" si="19">P96+Q96+R96</f>
        <v>0</v>
      </c>
      <c r="T96" s="12" t="str">
        <f t="shared" si="17"/>
        <v/>
      </c>
      <c r="U96" s="13"/>
    </row>
    <row r="97" spans="1:21" ht="15.75">
      <c r="A97" s="61">
        <v>83</v>
      </c>
      <c r="I97" s="291"/>
      <c r="J97" s="293">
        <v>3302</v>
      </c>
      <c r="K97" s="360" t="s">
        <v>702</v>
      </c>
      <c r="L97" s="295">
        <f t="shared" si="18"/>
        <v>0</v>
      </c>
      <c r="M97" s="484">
        <v>0</v>
      </c>
      <c r="N97" s="485">
        <v>0</v>
      </c>
      <c r="O97" s="160">
        <v>0</v>
      </c>
      <c r="P97" s="484">
        <v>0</v>
      </c>
      <c r="Q97" s="485">
        <v>0</v>
      </c>
      <c r="R97" s="160">
        <v>0</v>
      </c>
      <c r="S97" s="295">
        <f t="shared" si="19"/>
        <v>0</v>
      </c>
      <c r="T97" s="12" t="str">
        <f t="shared" si="17"/>
        <v/>
      </c>
      <c r="U97" s="13"/>
    </row>
    <row r="98" spans="1:21" ht="15.75">
      <c r="A98" s="61">
        <v>84</v>
      </c>
      <c r="I98" s="291"/>
      <c r="J98" s="293">
        <v>3304</v>
      </c>
      <c r="K98" s="360" t="s">
        <v>226</v>
      </c>
      <c r="L98" s="295">
        <f t="shared" si="18"/>
        <v>0</v>
      </c>
      <c r="M98" s="484">
        <v>0</v>
      </c>
      <c r="N98" s="485">
        <v>0</v>
      </c>
      <c r="O98" s="160">
        <v>0</v>
      </c>
      <c r="P98" s="484">
        <v>0</v>
      </c>
      <c r="Q98" s="485">
        <v>0</v>
      </c>
      <c r="R98" s="160">
        <v>0</v>
      </c>
      <c r="S98" s="295">
        <f t="shared" si="19"/>
        <v>0</v>
      </c>
      <c r="T98" s="12" t="str">
        <f t="shared" si="17"/>
        <v/>
      </c>
      <c r="U98" s="13"/>
    </row>
    <row r="99" spans="1:21" ht="50.25" customHeight="1">
      <c r="A99" s="61">
        <v>85</v>
      </c>
      <c r="I99" s="291"/>
      <c r="J99" s="285">
        <v>3306</v>
      </c>
      <c r="K99" s="361" t="s">
        <v>2172</v>
      </c>
      <c r="L99" s="295">
        <f t="shared" si="18"/>
        <v>0</v>
      </c>
      <c r="M99" s="484">
        <v>0</v>
      </c>
      <c r="N99" s="485">
        <v>0</v>
      </c>
      <c r="O99" s="160">
        <v>0</v>
      </c>
      <c r="P99" s="484">
        <v>0</v>
      </c>
      <c r="Q99" s="485">
        <v>0</v>
      </c>
      <c r="R99" s="160">
        <v>0</v>
      </c>
      <c r="S99" s="295">
        <f t="shared" si="19"/>
        <v>0</v>
      </c>
      <c r="T99" s="12" t="str">
        <f t="shared" si="17"/>
        <v/>
      </c>
      <c r="U99" s="13"/>
    </row>
    <row r="100" spans="1:21" ht="15.75">
      <c r="A100" s="61">
        <v>86</v>
      </c>
      <c r="I100" s="291"/>
      <c r="J100" s="285">
        <v>3307</v>
      </c>
      <c r="K100" s="361" t="s">
        <v>2049</v>
      </c>
      <c r="L100" s="287">
        <f t="shared" si="18"/>
        <v>0</v>
      </c>
      <c r="M100" s="486">
        <v>0</v>
      </c>
      <c r="N100" s="487">
        <v>0</v>
      </c>
      <c r="O100" s="175">
        <v>0</v>
      </c>
      <c r="P100" s="486">
        <v>0</v>
      </c>
      <c r="Q100" s="487">
        <v>0</v>
      </c>
      <c r="R100" s="175">
        <v>0</v>
      </c>
      <c r="S100" s="287">
        <f t="shared" si="19"/>
        <v>0</v>
      </c>
      <c r="T100" s="12" t="str">
        <f t="shared" si="17"/>
        <v/>
      </c>
      <c r="U100" s="13"/>
    </row>
    <row r="101" spans="1:21" ht="15.75">
      <c r="A101" s="61">
        <v>87</v>
      </c>
      <c r="I101" s="272">
        <v>3900</v>
      </c>
      <c r="J101" s="1973" t="s">
        <v>227</v>
      </c>
      <c r="K101" s="1974"/>
      <c r="L101" s="310">
        <f t="shared" si="18"/>
        <v>0</v>
      </c>
      <c r="M101" s="1458">
        <v>0</v>
      </c>
      <c r="N101" s="1459">
        <v>0</v>
      </c>
      <c r="O101" s="1460">
        <v>0</v>
      </c>
      <c r="P101" s="1458">
        <v>0</v>
      </c>
      <c r="Q101" s="1459">
        <v>0</v>
      </c>
      <c r="R101" s="1460">
        <v>0</v>
      </c>
      <c r="S101" s="310">
        <f t="shared" si="19"/>
        <v>0</v>
      </c>
      <c r="T101" s="12" t="str">
        <f t="shared" si="17"/>
        <v/>
      </c>
      <c r="U101" s="13"/>
    </row>
    <row r="102" spans="1:21" ht="15.75">
      <c r="A102" s="61">
        <v>88</v>
      </c>
      <c r="I102" s="272">
        <v>4000</v>
      </c>
      <c r="J102" s="1973" t="s">
        <v>228</v>
      </c>
      <c r="K102" s="1974"/>
      <c r="L102" s="310">
        <f t="shared" si="18"/>
        <v>0</v>
      </c>
      <c r="M102" s="1410"/>
      <c r="N102" s="1411"/>
      <c r="O102" s="1412"/>
      <c r="P102" s="1410"/>
      <c r="Q102" s="1411"/>
      <c r="R102" s="1412"/>
      <c r="S102" s="310">
        <f t="shared" si="19"/>
        <v>0</v>
      </c>
      <c r="T102" s="12" t="str">
        <f t="shared" si="17"/>
        <v/>
      </c>
      <c r="U102" s="13"/>
    </row>
    <row r="103" spans="1:21" ht="15.75">
      <c r="A103" s="61">
        <v>89</v>
      </c>
      <c r="I103" s="272">
        <v>4100</v>
      </c>
      <c r="J103" s="1973" t="s">
        <v>229</v>
      </c>
      <c r="K103" s="1974"/>
      <c r="L103" s="310">
        <f t="shared" si="18"/>
        <v>0</v>
      </c>
      <c r="M103" s="1459">
        <v>0</v>
      </c>
      <c r="N103" s="1459">
        <v>0</v>
      </c>
      <c r="O103" s="1460">
        <v>0</v>
      </c>
      <c r="P103" s="1711">
        <v>0</v>
      </c>
      <c r="Q103" s="1459">
        <v>0</v>
      </c>
      <c r="R103" s="1459">
        <v>0</v>
      </c>
      <c r="S103" s="310">
        <f t="shared" si="19"/>
        <v>0</v>
      </c>
      <c r="T103" s="12" t="str">
        <f t="shared" si="17"/>
        <v/>
      </c>
      <c r="U103" s="13"/>
    </row>
    <row r="104" spans="1:21" ht="15.75">
      <c r="A104" s="61">
        <v>90</v>
      </c>
      <c r="I104" s="272">
        <v>4200</v>
      </c>
      <c r="J104" s="1973" t="s">
        <v>230</v>
      </c>
      <c r="K104" s="1974"/>
      <c r="L104" s="310">
        <f t="shared" ref="L104:S104" si="20">SUM(L105:L110)</f>
        <v>0</v>
      </c>
      <c r="M104" s="274">
        <f t="shared" si="20"/>
        <v>0</v>
      </c>
      <c r="N104" s="275">
        <f t="shared" si="20"/>
        <v>0</v>
      </c>
      <c r="O104" s="276">
        <f>SUM(O105:O110)</f>
        <v>0</v>
      </c>
      <c r="P104" s="274">
        <f t="shared" si="20"/>
        <v>0</v>
      </c>
      <c r="Q104" s="275">
        <f t="shared" si="20"/>
        <v>0</v>
      </c>
      <c r="R104" s="276">
        <f t="shared" si="20"/>
        <v>0</v>
      </c>
      <c r="S104" s="310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2"/>
      <c r="J105" s="279">
        <v>4201</v>
      </c>
      <c r="K105" s="280" t="s">
        <v>231</v>
      </c>
      <c r="L105" s="281">
        <f t="shared" ref="L105:L110" si="21">M105+N105+O105</f>
        <v>0</v>
      </c>
      <c r="M105" s="152"/>
      <c r="N105" s="153"/>
      <c r="O105" s="1406"/>
      <c r="P105" s="152"/>
      <c r="Q105" s="153"/>
      <c r="R105" s="1406"/>
      <c r="S105" s="281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2"/>
      <c r="J106" s="293">
        <v>4202</v>
      </c>
      <c r="K106" s="363" t="s">
        <v>232</v>
      </c>
      <c r="L106" s="295">
        <f t="shared" si="21"/>
        <v>0</v>
      </c>
      <c r="M106" s="158"/>
      <c r="N106" s="159"/>
      <c r="O106" s="1408"/>
      <c r="P106" s="158"/>
      <c r="Q106" s="159"/>
      <c r="R106" s="1408"/>
      <c r="S106" s="295">
        <f t="shared" si="22"/>
        <v>0</v>
      </c>
      <c r="T106" s="12" t="str">
        <f t="shared" si="17"/>
        <v/>
      </c>
      <c r="U106" s="13"/>
    </row>
    <row r="107" spans="1:21" ht="15.75">
      <c r="A107" s="61">
        <v>93</v>
      </c>
      <c r="I107" s="362"/>
      <c r="J107" s="293">
        <v>4214</v>
      </c>
      <c r="K107" s="363" t="s">
        <v>233</v>
      </c>
      <c r="L107" s="295">
        <f t="shared" si="21"/>
        <v>0</v>
      </c>
      <c r="M107" s="158"/>
      <c r="N107" s="159"/>
      <c r="O107" s="1408"/>
      <c r="P107" s="158"/>
      <c r="Q107" s="159"/>
      <c r="R107" s="1408"/>
      <c r="S107" s="295">
        <f t="shared" si="22"/>
        <v>0</v>
      </c>
      <c r="T107" s="12" t="str">
        <f t="shared" si="17"/>
        <v/>
      </c>
      <c r="U107" s="13"/>
    </row>
    <row r="108" spans="1:21" ht="15.75">
      <c r="A108" s="61">
        <v>94</v>
      </c>
      <c r="I108" s="362"/>
      <c r="J108" s="293">
        <v>4217</v>
      </c>
      <c r="K108" s="363" t="s">
        <v>234</v>
      </c>
      <c r="L108" s="295">
        <f t="shared" si="21"/>
        <v>0</v>
      </c>
      <c r="M108" s="158"/>
      <c r="N108" s="159"/>
      <c r="O108" s="1408"/>
      <c r="P108" s="158"/>
      <c r="Q108" s="159"/>
      <c r="R108" s="1408"/>
      <c r="S108" s="295">
        <f t="shared" si="22"/>
        <v>0</v>
      </c>
      <c r="T108" s="12" t="str">
        <f t="shared" si="17"/>
        <v/>
      </c>
      <c r="U108" s="13"/>
    </row>
    <row r="109" spans="1:21" ht="15.75">
      <c r="A109" s="61">
        <v>95</v>
      </c>
      <c r="I109" s="362"/>
      <c r="J109" s="293">
        <v>4218</v>
      </c>
      <c r="K109" s="294" t="s">
        <v>235</v>
      </c>
      <c r="L109" s="295">
        <f t="shared" si="21"/>
        <v>0</v>
      </c>
      <c r="M109" s="158"/>
      <c r="N109" s="159"/>
      <c r="O109" s="1408"/>
      <c r="P109" s="158"/>
      <c r="Q109" s="159"/>
      <c r="R109" s="1408"/>
      <c r="S109" s="295">
        <f t="shared" si="22"/>
        <v>0</v>
      </c>
      <c r="T109" s="12" t="str">
        <f t="shared" si="17"/>
        <v/>
      </c>
      <c r="U109" s="13"/>
    </row>
    <row r="110" spans="1:21" ht="15.75">
      <c r="A110" s="61">
        <v>96</v>
      </c>
      <c r="I110" s="362"/>
      <c r="J110" s="285">
        <v>4219</v>
      </c>
      <c r="K110" s="343" t="s">
        <v>236</v>
      </c>
      <c r="L110" s="287">
        <f t="shared" si="21"/>
        <v>0</v>
      </c>
      <c r="M110" s="173"/>
      <c r="N110" s="174"/>
      <c r="O110" s="1409"/>
      <c r="P110" s="173"/>
      <c r="Q110" s="174"/>
      <c r="R110" s="1409"/>
      <c r="S110" s="287">
        <f t="shared" si="22"/>
        <v>0</v>
      </c>
      <c r="T110" s="12" t="str">
        <f t="shared" si="17"/>
        <v/>
      </c>
      <c r="U110" s="13"/>
    </row>
    <row r="111" spans="1:21" ht="15.75">
      <c r="A111" s="61">
        <v>97</v>
      </c>
      <c r="I111" s="272">
        <v>4300</v>
      </c>
      <c r="J111" s="1973" t="s">
        <v>1645</v>
      </c>
      <c r="K111" s="1974"/>
      <c r="L111" s="310">
        <f t="shared" ref="L111:S111" si="23">SUM(L112:L114)</f>
        <v>0</v>
      </c>
      <c r="M111" s="274">
        <f t="shared" si="23"/>
        <v>0</v>
      </c>
      <c r="N111" s="275">
        <f t="shared" si="23"/>
        <v>0</v>
      </c>
      <c r="O111" s="276">
        <f>SUM(O112:O114)</f>
        <v>0</v>
      </c>
      <c r="P111" s="274">
        <f t="shared" si="23"/>
        <v>0</v>
      </c>
      <c r="Q111" s="275">
        <f t="shared" si="23"/>
        <v>0</v>
      </c>
      <c r="R111" s="276">
        <f t="shared" si="23"/>
        <v>0</v>
      </c>
      <c r="S111" s="310">
        <f t="shared" si="23"/>
        <v>0</v>
      </c>
      <c r="T111" s="12" t="str">
        <f t="shared" si="17"/>
        <v/>
      </c>
      <c r="U111" s="13"/>
    </row>
    <row r="112" spans="1:21" ht="15.75">
      <c r="A112" s="61">
        <v>98</v>
      </c>
      <c r="I112" s="362"/>
      <c r="J112" s="279">
        <v>4301</v>
      </c>
      <c r="K112" s="311" t="s">
        <v>237</v>
      </c>
      <c r="L112" s="281">
        <f t="shared" ref="L112:L117" si="24">M112+N112+O112</f>
        <v>0</v>
      </c>
      <c r="M112" s="152"/>
      <c r="N112" s="153"/>
      <c r="O112" s="1406"/>
      <c r="P112" s="152"/>
      <c r="Q112" s="153"/>
      <c r="R112" s="1406"/>
      <c r="S112" s="281">
        <f t="shared" ref="S112:S117" si="25">P112+Q112+R112</f>
        <v>0</v>
      </c>
      <c r="T112" s="12" t="str">
        <f t="shared" si="17"/>
        <v/>
      </c>
      <c r="U112" s="13"/>
    </row>
    <row r="113" spans="1:21" ht="15.75">
      <c r="A113" s="61">
        <v>99</v>
      </c>
      <c r="I113" s="362"/>
      <c r="J113" s="293">
        <v>4302</v>
      </c>
      <c r="K113" s="363" t="s">
        <v>238</v>
      </c>
      <c r="L113" s="295">
        <f t="shared" si="24"/>
        <v>0</v>
      </c>
      <c r="M113" s="158"/>
      <c r="N113" s="159"/>
      <c r="O113" s="1408"/>
      <c r="P113" s="158"/>
      <c r="Q113" s="159"/>
      <c r="R113" s="1408"/>
      <c r="S113" s="295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2"/>
      <c r="J114" s="285">
        <v>4309</v>
      </c>
      <c r="K114" s="301" t="s">
        <v>239</v>
      </c>
      <c r="L114" s="287">
        <f t="shared" si="24"/>
        <v>0</v>
      </c>
      <c r="M114" s="173"/>
      <c r="N114" s="174"/>
      <c r="O114" s="1409"/>
      <c r="P114" s="173"/>
      <c r="Q114" s="174"/>
      <c r="R114" s="1409"/>
      <c r="S114" s="287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2">
        <v>4400</v>
      </c>
      <c r="J115" s="1973" t="s">
        <v>1642</v>
      </c>
      <c r="K115" s="1974"/>
      <c r="L115" s="310">
        <f t="shared" si="24"/>
        <v>0</v>
      </c>
      <c r="M115" s="1410"/>
      <c r="N115" s="1411"/>
      <c r="O115" s="1412"/>
      <c r="P115" s="1410"/>
      <c r="Q115" s="1411"/>
      <c r="R115" s="1412"/>
      <c r="S115" s="310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2">
        <v>4500</v>
      </c>
      <c r="J116" s="1973" t="s">
        <v>1643</v>
      </c>
      <c r="K116" s="1974"/>
      <c r="L116" s="310">
        <f t="shared" si="24"/>
        <v>0</v>
      </c>
      <c r="M116" s="1410"/>
      <c r="N116" s="1411"/>
      <c r="O116" s="1412"/>
      <c r="P116" s="1410"/>
      <c r="Q116" s="1411"/>
      <c r="R116" s="1412"/>
      <c r="S116" s="310">
        <f t="shared" si="25"/>
        <v>0</v>
      </c>
      <c r="T116" s="12" t="str">
        <f t="shared" si="17"/>
        <v/>
      </c>
      <c r="U116" s="13"/>
    </row>
    <row r="117" spans="1:21" ht="15.75">
      <c r="A117" s="61">
        <v>103</v>
      </c>
      <c r="I117" s="272">
        <v>4600</v>
      </c>
      <c r="J117" s="1975" t="s">
        <v>240</v>
      </c>
      <c r="K117" s="1976"/>
      <c r="L117" s="310">
        <f t="shared" si="24"/>
        <v>0</v>
      </c>
      <c r="M117" s="1410"/>
      <c r="N117" s="1411"/>
      <c r="O117" s="1412"/>
      <c r="P117" s="1410"/>
      <c r="Q117" s="1411"/>
      <c r="R117" s="1412"/>
      <c r="S117" s="310">
        <f t="shared" si="25"/>
        <v>0</v>
      </c>
      <c r="T117" s="12" t="str">
        <f t="shared" si="17"/>
        <v/>
      </c>
      <c r="U117" s="13"/>
    </row>
    <row r="118" spans="1:21" ht="15.75">
      <c r="A118" s="61">
        <v>104</v>
      </c>
      <c r="I118" s="272">
        <v>4900</v>
      </c>
      <c r="J118" s="1973" t="s">
        <v>267</v>
      </c>
      <c r="K118" s="1974"/>
      <c r="L118" s="310">
        <f t="shared" ref="L118:S118" si="26">+L119+L120</f>
        <v>0</v>
      </c>
      <c r="M118" s="274">
        <f t="shared" si="26"/>
        <v>0</v>
      </c>
      <c r="N118" s="275">
        <f t="shared" si="26"/>
        <v>0</v>
      </c>
      <c r="O118" s="276">
        <f>+O119+O120</f>
        <v>0</v>
      </c>
      <c r="P118" s="274">
        <f t="shared" si="26"/>
        <v>0</v>
      </c>
      <c r="Q118" s="275">
        <f t="shared" si="26"/>
        <v>0</v>
      </c>
      <c r="R118" s="276">
        <f t="shared" si="26"/>
        <v>0</v>
      </c>
      <c r="S118" s="310">
        <f t="shared" si="26"/>
        <v>0</v>
      </c>
      <c r="T118" s="12" t="str">
        <f t="shared" si="17"/>
        <v/>
      </c>
      <c r="U118" s="13"/>
    </row>
    <row r="119" spans="1:21" ht="15.75">
      <c r="A119" s="61">
        <v>105</v>
      </c>
      <c r="I119" s="362"/>
      <c r="J119" s="279">
        <v>4901</v>
      </c>
      <c r="K119" s="364" t="s">
        <v>268</v>
      </c>
      <c r="L119" s="281">
        <f>M119+N119+O119</f>
        <v>0</v>
      </c>
      <c r="M119" s="152"/>
      <c r="N119" s="153"/>
      <c r="O119" s="1406"/>
      <c r="P119" s="152"/>
      <c r="Q119" s="153"/>
      <c r="R119" s="1406"/>
      <c r="S119" s="281">
        <f>P119+Q119+R119</f>
        <v>0</v>
      </c>
      <c r="T119" s="12" t="str">
        <f t="shared" si="17"/>
        <v/>
      </c>
      <c r="U119" s="13"/>
    </row>
    <row r="120" spans="1:21" ht="15.75">
      <c r="A120" s="61">
        <v>106</v>
      </c>
      <c r="I120" s="362"/>
      <c r="J120" s="285">
        <v>4902</v>
      </c>
      <c r="K120" s="301" t="s">
        <v>269</v>
      </c>
      <c r="L120" s="287">
        <f>M120+N120+O120</f>
        <v>0</v>
      </c>
      <c r="M120" s="173"/>
      <c r="N120" s="174"/>
      <c r="O120" s="1409"/>
      <c r="P120" s="173"/>
      <c r="Q120" s="174"/>
      <c r="R120" s="1409"/>
      <c r="S120" s="287">
        <f>P120+Q120+R120</f>
        <v>0</v>
      </c>
      <c r="T120" s="12" t="str">
        <f t="shared" si="17"/>
        <v/>
      </c>
      <c r="U120" s="13"/>
    </row>
    <row r="121" spans="1:21" ht="15.75">
      <c r="A121" s="61">
        <v>107</v>
      </c>
      <c r="I121" s="365">
        <v>5100</v>
      </c>
      <c r="J121" s="1971" t="s">
        <v>241</v>
      </c>
      <c r="K121" s="1972"/>
      <c r="L121" s="310">
        <f>M121+N121+O121</f>
        <v>0</v>
      </c>
      <c r="M121" s="1410"/>
      <c r="N121" s="1411"/>
      <c r="O121" s="1412"/>
      <c r="P121" s="1410"/>
      <c r="Q121" s="1411"/>
      <c r="R121" s="1412"/>
      <c r="S121" s="310">
        <f>P121+Q121+R121</f>
        <v>0</v>
      </c>
      <c r="T121" s="12" t="str">
        <f t="shared" si="17"/>
        <v/>
      </c>
      <c r="U121" s="13"/>
    </row>
    <row r="122" spans="1:21" ht="15.75">
      <c r="A122" s="61">
        <v>108</v>
      </c>
      <c r="I122" s="365">
        <v>5200</v>
      </c>
      <c r="J122" s="1971" t="s">
        <v>242</v>
      </c>
      <c r="K122" s="1972"/>
      <c r="L122" s="310">
        <f t="shared" ref="L122:S122" si="27">SUM(L123:L129)</f>
        <v>0</v>
      </c>
      <c r="M122" s="274">
        <f t="shared" si="27"/>
        <v>0</v>
      </c>
      <c r="N122" s="275">
        <f t="shared" si="27"/>
        <v>0</v>
      </c>
      <c r="O122" s="276">
        <f>SUM(O123:O129)</f>
        <v>0</v>
      </c>
      <c r="P122" s="274">
        <f t="shared" si="27"/>
        <v>0</v>
      </c>
      <c r="Q122" s="275">
        <f t="shared" si="27"/>
        <v>0</v>
      </c>
      <c r="R122" s="276">
        <f t="shared" si="27"/>
        <v>0</v>
      </c>
      <c r="S122" s="310">
        <f t="shared" si="27"/>
        <v>0</v>
      </c>
      <c r="T122" s="12" t="str">
        <f t="shared" si="17"/>
        <v/>
      </c>
      <c r="U122" s="13"/>
    </row>
    <row r="123" spans="1:21" ht="15.75">
      <c r="A123" s="61">
        <v>109</v>
      </c>
      <c r="I123" s="366"/>
      <c r="J123" s="367">
        <v>5201</v>
      </c>
      <c r="K123" s="368" t="s">
        <v>243</v>
      </c>
      <c r="L123" s="281">
        <f t="shared" ref="L123:L129" si="28">M123+N123+O123</f>
        <v>0</v>
      </c>
      <c r="M123" s="152"/>
      <c r="N123" s="153"/>
      <c r="O123" s="1406"/>
      <c r="P123" s="152"/>
      <c r="Q123" s="153"/>
      <c r="R123" s="1406"/>
      <c r="S123" s="281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6"/>
      <c r="J124" s="369">
        <v>5202</v>
      </c>
      <c r="K124" s="370" t="s">
        <v>244</v>
      </c>
      <c r="L124" s="295">
        <f t="shared" si="28"/>
        <v>0</v>
      </c>
      <c r="M124" s="158"/>
      <c r="N124" s="159"/>
      <c r="O124" s="1408"/>
      <c r="P124" s="158"/>
      <c r="Q124" s="159"/>
      <c r="R124" s="1408"/>
      <c r="S124" s="295">
        <f t="shared" si="29"/>
        <v>0</v>
      </c>
      <c r="T124" s="12" t="str">
        <f t="shared" si="17"/>
        <v/>
      </c>
      <c r="U124" s="13"/>
    </row>
    <row r="125" spans="1:21" ht="15.75">
      <c r="A125" s="61">
        <v>111</v>
      </c>
      <c r="I125" s="366"/>
      <c r="J125" s="369">
        <v>5203</v>
      </c>
      <c r="K125" s="370" t="s">
        <v>609</v>
      </c>
      <c r="L125" s="295">
        <f t="shared" si="28"/>
        <v>0</v>
      </c>
      <c r="M125" s="158"/>
      <c r="N125" s="159"/>
      <c r="O125" s="1408"/>
      <c r="P125" s="158"/>
      <c r="Q125" s="159"/>
      <c r="R125" s="1408"/>
      <c r="S125" s="295">
        <f t="shared" si="29"/>
        <v>0</v>
      </c>
      <c r="T125" s="12" t="str">
        <f t="shared" si="17"/>
        <v/>
      </c>
      <c r="U125" s="13"/>
    </row>
    <row r="126" spans="1:21" ht="15.75">
      <c r="A126" s="61">
        <v>112</v>
      </c>
      <c r="I126" s="366"/>
      <c r="J126" s="369">
        <v>5204</v>
      </c>
      <c r="K126" s="370" t="s">
        <v>610</v>
      </c>
      <c r="L126" s="295">
        <f t="shared" si="28"/>
        <v>0</v>
      </c>
      <c r="M126" s="158"/>
      <c r="N126" s="159"/>
      <c r="O126" s="1408"/>
      <c r="P126" s="158"/>
      <c r="Q126" s="159"/>
      <c r="R126" s="1408"/>
      <c r="S126" s="295">
        <f t="shared" si="29"/>
        <v>0</v>
      </c>
      <c r="T126" s="12" t="str">
        <f t="shared" si="17"/>
        <v/>
      </c>
      <c r="U126" s="13"/>
    </row>
    <row r="127" spans="1:21" ht="15.75">
      <c r="A127" s="61">
        <v>113</v>
      </c>
      <c r="I127" s="366"/>
      <c r="J127" s="369">
        <v>5205</v>
      </c>
      <c r="K127" s="370" t="s">
        <v>611</v>
      </c>
      <c r="L127" s="295">
        <f t="shared" si="28"/>
        <v>0</v>
      </c>
      <c r="M127" s="158"/>
      <c r="N127" s="159"/>
      <c r="O127" s="1408"/>
      <c r="P127" s="158"/>
      <c r="Q127" s="159"/>
      <c r="R127" s="1408"/>
      <c r="S127" s="295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6"/>
      <c r="J128" s="369">
        <v>5206</v>
      </c>
      <c r="K128" s="370" t="s">
        <v>612</v>
      </c>
      <c r="L128" s="295">
        <f t="shared" si="28"/>
        <v>0</v>
      </c>
      <c r="M128" s="158"/>
      <c r="N128" s="159"/>
      <c r="O128" s="1408"/>
      <c r="P128" s="158"/>
      <c r="Q128" s="159"/>
      <c r="R128" s="1408"/>
      <c r="S128" s="295">
        <f t="shared" si="29"/>
        <v>0</v>
      </c>
      <c r="T128" s="12" t="str">
        <f t="shared" si="17"/>
        <v/>
      </c>
      <c r="U128" s="13"/>
    </row>
    <row r="129" spans="1:21" ht="15.75">
      <c r="A129" s="61">
        <v>115</v>
      </c>
      <c r="I129" s="366"/>
      <c r="J129" s="371">
        <v>5219</v>
      </c>
      <c r="K129" s="372" t="s">
        <v>613</v>
      </c>
      <c r="L129" s="287">
        <f t="shared" si="28"/>
        <v>0</v>
      </c>
      <c r="M129" s="173"/>
      <c r="N129" s="174"/>
      <c r="O129" s="1409"/>
      <c r="P129" s="173"/>
      <c r="Q129" s="174"/>
      <c r="R129" s="1409"/>
      <c r="S129" s="287">
        <f t="shared" si="29"/>
        <v>0</v>
      </c>
      <c r="T129" s="12" t="str">
        <f t="shared" si="17"/>
        <v/>
      </c>
      <c r="U129" s="13"/>
    </row>
    <row r="130" spans="1:21" ht="15.75">
      <c r="A130" s="61">
        <v>116</v>
      </c>
      <c r="I130" s="365">
        <v>5300</v>
      </c>
      <c r="J130" s="1971" t="s">
        <v>614</v>
      </c>
      <c r="K130" s="1972"/>
      <c r="L130" s="310">
        <f t="shared" ref="L130:S130" si="30">SUM(L131:L132)</f>
        <v>0</v>
      </c>
      <c r="M130" s="274">
        <f t="shared" si="30"/>
        <v>0</v>
      </c>
      <c r="N130" s="275">
        <f t="shared" si="30"/>
        <v>0</v>
      </c>
      <c r="O130" s="276">
        <f>SUM(O131:O132)</f>
        <v>0</v>
      </c>
      <c r="P130" s="274">
        <f t="shared" si="30"/>
        <v>0</v>
      </c>
      <c r="Q130" s="275">
        <f t="shared" si="30"/>
        <v>0</v>
      </c>
      <c r="R130" s="276">
        <f t="shared" si="30"/>
        <v>0</v>
      </c>
      <c r="S130" s="310">
        <f t="shared" si="30"/>
        <v>0</v>
      </c>
      <c r="T130" s="12" t="str">
        <f t="shared" si="17"/>
        <v/>
      </c>
      <c r="U130" s="13"/>
    </row>
    <row r="131" spans="1:21" ht="15.75">
      <c r="A131" s="61">
        <v>117</v>
      </c>
      <c r="I131" s="366"/>
      <c r="J131" s="367">
        <v>5301</v>
      </c>
      <c r="K131" s="368" t="s">
        <v>301</v>
      </c>
      <c r="L131" s="281">
        <f>M131+N131+O131</f>
        <v>0</v>
      </c>
      <c r="M131" s="152"/>
      <c r="N131" s="153"/>
      <c r="O131" s="1406"/>
      <c r="P131" s="152"/>
      <c r="Q131" s="153"/>
      <c r="R131" s="1406"/>
      <c r="S131" s="281">
        <f>P131+Q131+R131</f>
        <v>0</v>
      </c>
      <c r="T131" s="12" t="str">
        <f t="shared" si="17"/>
        <v/>
      </c>
      <c r="U131" s="13"/>
    </row>
    <row r="132" spans="1:21" ht="15.75">
      <c r="A132" s="61">
        <v>118</v>
      </c>
      <c r="I132" s="366"/>
      <c r="J132" s="371">
        <v>5309</v>
      </c>
      <c r="K132" s="372" t="s">
        <v>615</v>
      </c>
      <c r="L132" s="287">
        <f>M132+N132+O132</f>
        <v>0</v>
      </c>
      <c r="M132" s="173"/>
      <c r="N132" s="174"/>
      <c r="O132" s="1409"/>
      <c r="P132" s="173"/>
      <c r="Q132" s="174"/>
      <c r="R132" s="1409"/>
      <c r="S132" s="287">
        <f>P132+Q132+R132</f>
        <v>0</v>
      </c>
      <c r="T132" s="12" t="str">
        <f t="shared" si="17"/>
        <v/>
      </c>
      <c r="U132" s="13"/>
    </row>
    <row r="133" spans="1:21" ht="15.75">
      <c r="A133" s="61">
        <v>119</v>
      </c>
      <c r="I133" s="365">
        <v>5400</v>
      </c>
      <c r="J133" s="1971" t="s">
        <v>672</v>
      </c>
      <c r="K133" s="1972"/>
      <c r="L133" s="310">
        <f>M133+N133+O133</f>
        <v>0</v>
      </c>
      <c r="M133" s="1410"/>
      <c r="N133" s="1411"/>
      <c r="O133" s="1412"/>
      <c r="P133" s="1410"/>
      <c r="Q133" s="1411"/>
      <c r="R133" s="1412"/>
      <c r="S133" s="310">
        <f>P133+Q133+R133</f>
        <v>0</v>
      </c>
      <c r="T133" s="12" t="str">
        <f t="shared" si="17"/>
        <v/>
      </c>
      <c r="U133" s="13"/>
    </row>
    <row r="134" spans="1:21" ht="15.75">
      <c r="A134" s="61">
        <v>120</v>
      </c>
      <c r="I134" s="272">
        <v>5500</v>
      </c>
      <c r="J134" s="1973" t="s">
        <v>673</v>
      </c>
      <c r="K134" s="1974"/>
      <c r="L134" s="310">
        <f t="shared" ref="L134:S134" si="31">SUM(L135:L138)</f>
        <v>0</v>
      </c>
      <c r="M134" s="274">
        <f t="shared" si="31"/>
        <v>0</v>
      </c>
      <c r="N134" s="275">
        <f t="shared" si="31"/>
        <v>0</v>
      </c>
      <c r="O134" s="276">
        <f>SUM(O135:O138)</f>
        <v>0</v>
      </c>
      <c r="P134" s="274">
        <f t="shared" si="31"/>
        <v>0</v>
      </c>
      <c r="Q134" s="275">
        <f t="shared" si="31"/>
        <v>0</v>
      </c>
      <c r="R134" s="276">
        <f t="shared" si="31"/>
        <v>0</v>
      </c>
      <c r="S134" s="310">
        <f t="shared" si="31"/>
        <v>0</v>
      </c>
      <c r="T134" s="12" t="str">
        <f t="shared" si="17"/>
        <v/>
      </c>
      <c r="U134" s="13"/>
    </row>
    <row r="135" spans="1:21" ht="15.75">
      <c r="A135" s="61">
        <v>121</v>
      </c>
      <c r="I135" s="362"/>
      <c r="J135" s="279">
        <v>5501</v>
      </c>
      <c r="K135" s="311" t="s">
        <v>674</v>
      </c>
      <c r="L135" s="281">
        <f>M135+N135+O135</f>
        <v>0</v>
      </c>
      <c r="M135" s="152"/>
      <c r="N135" s="153"/>
      <c r="O135" s="1406"/>
      <c r="P135" s="152"/>
      <c r="Q135" s="153"/>
      <c r="R135" s="1406"/>
      <c r="S135" s="281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2"/>
      <c r="J136" s="293">
        <v>5502</v>
      </c>
      <c r="K136" s="294" t="s">
        <v>675</v>
      </c>
      <c r="L136" s="295">
        <f>M136+N136+O136</f>
        <v>0</v>
      </c>
      <c r="M136" s="158"/>
      <c r="N136" s="159"/>
      <c r="O136" s="1408"/>
      <c r="P136" s="158"/>
      <c r="Q136" s="159"/>
      <c r="R136" s="1408"/>
      <c r="S136" s="295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2"/>
      <c r="J137" s="293">
        <v>5503</v>
      </c>
      <c r="K137" s="363" t="s">
        <v>676</v>
      </c>
      <c r="L137" s="295">
        <f>M137+N137+O137</f>
        <v>0</v>
      </c>
      <c r="M137" s="158"/>
      <c r="N137" s="159"/>
      <c r="O137" s="1408"/>
      <c r="P137" s="158"/>
      <c r="Q137" s="159"/>
      <c r="R137" s="1408"/>
      <c r="S137" s="295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2"/>
      <c r="J138" s="285">
        <v>5504</v>
      </c>
      <c r="K138" s="339" t="s">
        <v>677</v>
      </c>
      <c r="L138" s="287">
        <f>M138+N138+O138</f>
        <v>0</v>
      </c>
      <c r="M138" s="173"/>
      <c r="N138" s="174"/>
      <c r="O138" s="1409"/>
      <c r="P138" s="173"/>
      <c r="Q138" s="174"/>
      <c r="R138" s="1409"/>
      <c r="S138" s="287">
        <f>P138+Q138+R138</f>
        <v>0</v>
      </c>
      <c r="T138" s="12" t="str">
        <f t="shared" si="17"/>
        <v/>
      </c>
      <c r="U138" s="13"/>
    </row>
    <row r="139" spans="1:21" ht="15.75">
      <c r="A139" s="61">
        <v>125</v>
      </c>
      <c r="I139" s="365">
        <v>5700</v>
      </c>
      <c r="J139" s="1966" t="s">
        <v>899</v>
      </c>
      <c r="K139" s="1967"/>
      <c r="L139" s="310">
        <f>SUM(L140:L142)</f>
        <v>0</v>
      </c>
      <c r="M139" s="1458">
        <v>0</v>
      </c>
      <c r="N139" s="1458">
        <v>0</v>
      </c>
      <c r="O139" s="1458">
        <v>0</v>
      </c>
      <c r="P139" s="1458">
        <v>0</v>
      </c>
      <c r="Q139" s="1458">
        <v>0</v>
      </c>
      <c r="R139" s="1458">
        <v>0</v>
      </c>
      <c r="S139" s="310">
        <f>SUM(S140:S142)</f>
        <v>0</v>
      </c>
      <c r="T139" s="12" t="str">
        <f t="shared" si="17"/>
        <v/>
      </c>
      <c r="U139" s="13"/>
    </row>
    <row r="140" spans="1:21" ht="15.75">
      <c r="A140" s="61">
        <v>126</v>
      </c>
      <c r="I140" s="366"/>
      <c r="J140" s="367">
        <v>5701</v>
      </c>
      <c r="K140" s="368" t="s">
        <v>678</v>
      </c>
      <c r="L140" s="281">
        <f>M140+N140+O140</f>
        <v>0</v>
      </c>
      <c r="M140" s="1459">
        <v>0</v>
      </c>
      <c r="N140" s="1459">
        <v>0</v>
      </c>
      <c r="O140" s="1460">
        <v>0</v>
      </c>
      <c r="P140" s="1711">
        <v>0</v>
      </c>
      <c r="Q140" s="1459">
        <v>0</v>
      </c>
      <c r="R140" s="1459">
        <v>0</v>
      </c>
      <c r="S140" s="281">
        <f>P140+Q140+R140</f>
        <v>0</v>
      </c>
      <c r="T140" s="12" t="str">
        <f t="shared" si="17"/>
        <v/>
      </c>
      <c r="U140" s="13"/>
    </row>
    <row r="141" spans="1:21" ht="15.75">
      <c r="A141" s="61">
        <v>127</v>
      </c>
      <c r="I141" s="366"/>
      <c r="J141" s="373">
        <v>5702</v>
      </c>
      <c r="K141" s="374" t="s">
        <v>679</v>
      </c>
      <c r="L141" s="314">
        <f>M141+N141+O141</f>
        <v>0</v>
      </c>
      <c r="M141" s="1459">
        <v>0</v>
      </c>
      <c r="N141" s="1459">
        <v>0</v>
      </c>
      <c r="O141" s="1460">
        <v>0</v>
      </c>
      <c r="P141" s="1711">
        <v>0</v>
      </c>
      <c r="Q141" s="1459">
        <v>0</v>
      </c>
      <c r="R141" s="1459">
        <v>0</v>
      </c>
      <c r="S141" s="314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2"/>
      <c r="J142" s="375">
        <v>4071</v>
      </c>
      <c r="K142" s="376" t="s">
        <v>680</v>
      </c>
      <c r="L142" s="377">
        <f>M142+N142+O142</f>
        <v>0</v>
      </c>
      <c r="M142" s="1459">
        <v>0</v>
      </c>
      <c r="N142" s="1459">
        <v>0</v>
      </c>
      <c r="O142" s="1460">
        <v>0</v>
      </c>
      <c r="P142" s="1711">
        <v>0</v>
      </c>
      <c r="Q142" s="1459">
        <v>0</v>
      </c>
      <c r="R142" s="1459">
        <v>0</v>
      </c>
      <c r="S142" s="377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1"/>
      <c r="J143" s="1968" t="s">
        <v>681</v>
      </c>
      <c r="K143" s="1969"/>
      <c r="L143" s="1426"/>
      <c r="M143" s="1426"/>
      <c r="N143" s="1426"/>
      <c r="O143" s="1426"/>
      <c r="P143" s="1426"/>
      <c r="Q143" s="1426"/>
      <c r="R143" s="1426"/>
      <c r="S143" s="1427"/>
      <c r="T143" s="12" t="str">
        <f t="shared" si="17"/>
        <v/>
      </c>
      <c r="U143" s="13"/>
    </row>
    <row r="144" spans="1:21" ht="15.75" customHeight="1">
      <c r="A144" s="61">
        <v>130</v>
      </c>
      <c r="I144" s="381">
        <v>98</v>
      </c>
      <c r="J144" s="1968" t="s">
        <v>681</v>
      </c>
      <c r="K144" s="1969"/>
      <c r="L144" s="382">
        <f>M144+N144+O144</f>
        <v>0</v>
      </c>
      <c r="M144" s="1417"/>
      <c r="N144" s="1418"/>
      <c r="O144" s="1419"/>
      <c r="P144" s="1448">
        <v>0</v>
      </c>
      <c r="Q144" s="1449">
        <v>0</v>
      </c>
      <c r="R144" s="1450">
        <v>0</v>
      </c>
      <c r="S144" s="382">
        <f>P144+Q144+R144</f>
        <v>0</v>
      </c>
      <c r="T144" s="12" t="str">
        <f t="shared" si="17"/>
        <v/>
      </c>
      <c r="U144" s="13"/>
    </row>
    <row r="145" spans="1:21" ht="15.75">
      <c r="A145" s="61">
        <v>131</v>
      </c>
      <c r="I145" s="1421"/>
      <c r="J145" s="1422"/>
      <c r="K145" s="1423"/>
      <c r="L145" s="269"/>
      <c r="M145" s="269"/>
      <c r="N145" s="269"/>
      <c r="O145" s="269"/>
      <c r="P145" s="269"/>
      <c r="Q145" s="269"/>
      <c r="R145" s="269"/>
      <c r="S145" s="270"/>
      <c r="T145" s="12" t="str">
        <f t="shared" si="17"/>
        <v/>
      </c>
      <c r="U145" s="73" t="str">
        <f>LEFT(J27,1)</f>
        <v>0</v>
      </c>
    </row>
    <row r="146" spans="1:21" ht="15.75">
      <c r="A146" s="61">
        <v>132</v>
      </c>
      <c r="I146" s="1424"/>
      <c r="J146" s="111"/>
      <c r="K146" s="1425"/>
      <c r="L146" s="218"/>
      <c r="M146" s="218"/>
      <c r="N146" s="218"/>
      <c r="O146" s="218"/>
      <c r="P146" s="218"/>
      <c r="Q146" s="218"/>
      <c r="R146" s="218"/>
      <c r="S146" s="389"/>
      <c r="T146" s="7" t="str">
        <f t="shared" si="17"/>
        <v/>
      </c>
      <c r="U146" s="8"/>
    </row>
    <row r="147" spans="1:21" ht="15.75">
      <c r="A147" s="61">
        <v>169</v>
      </c>
      <c r="I147" s="1424"/>
      <c r="J147" s="111"/>
      <c r="K147" s="1425"/>
      <c r="L147" s="218"/>
      <c r="M147" s="218"/>
      <c r="N147" s="218"/>
      <c r="O147" s="218"/>
      <c r="P147" s="218"/>
      <c r="Q147" s="218"/>
      <c r="R147" s="218"/>
      <c r="S147" s="389"/>
      <c r="T147" s="7" t="str">
        <f t="shared" si="17"/>
        <v/>
      </c>
      <c r="U147" s="8"/>
    </row>
    <row r="148" spans="1:21" ht="19.5" thickBot="1">
      <c r="I148" s="1451"/>
      <c r="J148" s="393" t="s">
        <v>727</v>
      </c>
      <c r="K148" s="1420">
        <f>+I148</f>
        <v>0</v>
      </c>
      <c r="L148" s="395">
        <f t="shared" ref="L148:S148" si="32">SUM(L30,L33,L39,L47,L48,L66,L70,L76,L79,L80,L81,L82,L86,L95,L101,L102,L103,L104,L111,L115,L116,L117,L118,L121,L122,L130,L133,L134,L139)+L144</f>
        <v>0</v>
      </c>
      <c r="M148" s="396">
        <f t="shared" si="32"/>
        <v>0</v>
      </c>
      <c r="N148" s="397">
        <f t="shared" si="32"/>
        <v>0</v>
      </c>
      <c r="O148" s="398">
        <f t="shared" si="32"/>
        <v>0</v>
      </c>
      <c r="P148" s="396">
        <f t="shared" si="32"/>
        <v>0</v>
      </c>
      <c r="Q148" s="397">
        <f t="shared" si="32"/>
        <v>0</v>
      </c>
      <c r="R148" s="398">
        <f t="shared" si="32"/>
        <v>0</v>
      </c>
      <c r="S148" s="395">
        <f t="shared" si="32"/>
        <v>0</v>
      </c>
      <c r="T148" s="1820" t="str">
        <f t="shared" si="17"/>
        <v/>
      </c>
    </row>
    <row r="149" spans="1:21" ht="19.5" thickTop="1">
      <c r="I149" s="79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820" t="str">
        <f>(IF($E148&lt;&gt;0,$M$2,IF($L148&lt;&gt;0,$M$2,"")))</f>
        <v/>
      </c>
    </row>
    <row r="150" spans="1:21" ht="18.75">
      <c r="I150" s="1355"/>
      <c r="J150" s="1355"/>
      <c r="K150" s="1356"/>
      <c r="L150" s="1355"/>
      <c r="M150" s="1355"/>
      <c r="N150" s="1355"/>
      <c r="O150" s="1355"/>
      <c r="P150" s="1355"/>
      <c r="Q150" s="1355"/>
      <c r="R150" s="1355"/>
      <c r="S150" s="1357"/>
      <c r="T150" s="1820" t="str">
        <f>(IF($E148&lt;&gt;0,$M$2,IF($L148&lt;&gt;0,$M$2,"")))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</sheetData>
  <sheetProtection password="81B0" sheet="1" objects="1" scenarios="1"/>
  <mergeCells count="35"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  <mergeCell ref="J104:K104"/>
    <mergeCell ref="J111:K111"/>
    <mergeCell ref="J115:K115"/>
    <mergeCell ref="J116:K116"/>
    <mergeCell ref="J117:K117"/>
    <mergeCell ref="J82:K82"/>
    <mergeCell ref="J86:K86"/>
    <mergeCell ref="J101:K101"/>
    <mergeCell ref="J102:K102"/>
    <mergeCell ref="J103:K103"/>
    <mergeCell ref="J81:K81"/>
    <mergeCell ref="J30:K30"/>
    <mergeCell ref="J33:K33"/>
    <mergeCell ref="J39:K39"/>
    <mergeCell ref="J47:K47"/>
    <mergeCell ref="J48:K48"/>
    <mergeCell ref="J66:K66"/>
    <mergeCell ref="J70:K70"/>
    <mergeCell ref="J76:K76"/>
    <mergeCell ref="J79:K79"/>
    <mergeCell ref="J80:K80"/>
    <mergeCell ref="I14:K14"/>
    <mergeCell ref="I16:K16"/>
    <mergeCell ref="I19:K19"/>
    <mergeCell ref="L23:O23"/>
    <mergeCell ref="P23:S23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8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8</vt:i4>
      </vt:variant>
    </vt:vector>
  </HeadingPairs>
  <TitlesOfParts>
    <vt:vector size="15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I</cp:lastModifiedBy>
  <cp:lastPrinted>2019-01-10T13:58:54Z</cp:lastPrinted>
  <dcterms:created xsi:type="dcterms:W3CDTF">1997-12-10T11:54:07Z</dcterms:created>
  <dcterms:modified xsi:type="dcterms:W3CDTF">2026-01-05T15:45:05Z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